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E+JEqT97If4MchKvudNmfVHjkzQNlUKmsAk3knEfb4t8u2GP4yNDYPENGZEeeMqp0OsE8O4X/jpB//s8OgT2Q==" workbookSaltValue="aT3JvXbSUACrqMpPo+yP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N11" i="11"/>
  <c r="ES19" i="8"/>
  <c r="C18" i="7"/>
  <c r="S19" i="13"/>
  <c r="AG19" i="19"/>
  <c r="F9" i="11"/>
  <c r="R8" i="9"/>
  <c r="X12" i="21" s="1"/>
  <c r="CI19" i="8"/>
  <c r="AE19" i="8"/>
  <c r="EP19" i="8"/>
  <c r="ER19" i="13"/>
  <c r="AL13" i="16"/>
  <c r="S13" i="16"/>
  <c r="H18" i="16"/>
  <c r="P13" i="16"/>
  <c r="AN13" i="20"/>
  <c r="F15" i="17"/>
  <c r="F17" i="17"/>
  <c r="AQ17" i="17" s="1"/>
  <c r="AC10" i="11"/>
  <c r="H13" i="12"/>
  <c r="T19" i="8"/>
  <c r="AJ19" i="8"/>
  <c r="T13" i="12"/>
  <c r="BK11" i="11"/>
  <c r="AP10" i="21"/>
  <c r="BH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A13" i="8"/>
  <c r="AV18" i="17"/>
  <c r="J18" i="17"/>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G16" i="3"/>
  <c r="Y19" i="8"/>
  <c r="F15" i="11"/>
  <c r="BD15" i="8"/>
  <c r="BE15" i="8"/>
  <c r="H15" i="7"/>
  <c r="E18" i="2"/>
  <c r="F18" i="2" s="1"/>
  <c r="AL15" i="11"/>
  <c r="AW18" i="21"/>
  <c r="H12" i="2"/>
  <c r="C11" i="6"/>
  <c r="BF11" i="8"/>
  <c r="E11" i="6"/>
  <c r="AY13" i="8"/>
  <c r="Z19" i="8"/>
  <c r="C10" i="6"/>
  <c r="BG10" i="8"/>
  <c r="AB19" i="8"/>
  <c r="E9" i="6"/>
  <c r="AO9" i="11"/>
  <c r="BF9" i="8"/>
  <c r="BE9" i="8"/>
  <c r="I9" i="7" s="1"/>
  <c r="BD9" i="8"/>
  <c r="L12" i="14"/>
  <c r="H12" i="7"/>
  <c r="B12" i="6"/>
  <c r="M18" i="2"/>
  <c r="M19" i="2" s="1"/>
  <c r="N18" i="2"/>
  <c r="N19" i="2" s="1"/>
  <c r="BK9" i="11"/>
  <c r="BK12" i="11"/>
  <c r="P17" i="17"/>
  <c r="BG10" i="11"/>
  <c r="BL9" i="11"/>
  <c r="BF11" i="11"/>
  <c r="L12" i="2"/>
  <c r="X12" i="17"/>
  <c r="BG15" i="8"/>
  <c r="K15" i="7" s="1"/>
  <c r="BK10" i="11"/>
  <c r="BM9" i="11"/>
  <c r="BG16" i="11"/>
  <c r="BK16" i="11"/>
  <c r="AQ10" i="21"/>
  <c r="BH10" i="11"/>
  <c r="BG12" i="11"/>
  <c r="P12" i="11" s="1"/>
  <c r="S11" i="14"/>
  <c r="V11" i="14" s="1"/>
  <c r="AA15" i="16"/>
  <c r="BU12" i="17"/>
  <c r="BW10" i="20"/>
  <c r="BW11" i="20"/>
  <c r="BW12" i="20"/>
  <c r="BU10" i="17"/>
  <c r="BU11" i="17"/>
  <c r="AP17" i="20"/>
  <c r="BK17" i="11"/>
  <c r="BG15" i="11"/>
  <c r="BJ12" i="11"/>
  <c r="V9" i="11"/>
  <c r="BM12" i="11"/>
  <c r="X9" i="17"/>
  <c r="AO12" i="17"/>
  <c r="AO12" i="11"/>
  <c r="B17" i="6"/>
  <c r="C17" i="6"/>
  <c r="V12" i="21"/>
  <c r="R12" i="14"/>
  <c r="BF10" i="11"/>
  <c r="BL17" i="11"/>
  <c r="BM16" i="11"/>
  <c r="BH17" i="16"/>
  <c r="BH11" i="16"/>
  <c r="AO16" i="11"/>
  <c r="AL10" i="11"/>
  <c r="F16" i="17"/>
  <c r="BG16" i="13"/>
  <c r="AZ18" i="13"/>
  <c r="BE15" i="13"/>
  <c r="AO16" i="17"/>
  <c r="H15" i="2"/>
  <c r="E15" i="6"/>
  <c r="K15" i="12" s="1"/>
  <c r="B16" i="6"/>
  <c r="BB13" i="13"/>
  <c r="D11" i="12"/>
  <c r="D12" i="12"/>
  <c r="BG9" i="8"/>
  <c r="K9" i="7" s="1"/>
  <c r="BD11" i="8"/>
  <c r="BE11" i="8"/>
  <c r="I11" i="7" s="1"/>
  <c r="BG12" i="8"/>
  <c r="BE12" i="8"/>
  <c r="I12" i="7" s="1"/>
  <c r="L11" i="14"/>
  <c r="F12" i="11"/>
  <c r="AQ12" i="11" s="1"/>
  <c r="V9" i="16"/>
  <c r="L16" i="2"/>
  <c r="L15" i="2"/>
  <c r="L10" i="2"/>
  <c r="BL16" i="11"/>
  <c r="BJ16" i="11"/>
  <c r="AQ12" i="21"/>
  <c r="BH16" i="11"/>
  <c r="BH18" i="11" s="1"/>
  <c r="BF15" i="11"/>
  <c r="BM17" i="11"/>
  <c r="P17" i="11" s="1"/>
  <c r="Q15" i="17"/>
  <c r="BH10" i="16"/>
  <c r="BL10" i="11"/>
  <c r="BL15" i="11"/>
  <c r="P15" i="11" s="1"/>
  <c r="BF12" i="11"/>
  <c r="P15" i="17"/>
  <c r="P18" i="17" s="1"/>
  <c r="P19" i="17" s="1"/>
  <c r="S15" i="16"/>
  <c r="X17" i="17"/>
  <c r="T15" i="11"/>
  <c r="R10" i="14"/>
  <c r="AZ12" i="11"/>
  <c r="AZ16" i="11"/>
  <c r="BV9" i="16"/>
  <c r="BU16" i="17"/>
  <c r="BU17" i="17"/>
  <c r="BV10" i="16"/>
  <c r="BV13" i="16" s="1"/>
  <c r="BU9" i="17"/>
  <c r="BW15" i="20"/>
  <c r="BV15" i="16"/>
  <c r="BW16" i="20"/>
  <c r="BV16" i="16"/>
  <c r="BW17" i="20"/>
  <c r="BW9" i="20"/>
  <c r="BU15" i="17"/>
  <c r="BU21" i="17" s="1"/>
  <c r="T15" i="16"/>
  <c r="T17" i="16"/>
  <c r="BM15" i="11"/>
  <c r="BH17" i="11"/>
  <c r="BL11" i="11"/>
  <c r="BG9" i="11"/>
  <c r="BI17" i="11"/>
  <c r="R10" i="21"/>
  <c r="R13" i="21" s="1"/>
  <c r="R19" i="21" s="1"/>
  <c r="BJ11" i="11"/>
  <c r="BI15" i="11"/>
  <c r="S9" i="14"/>
  <c r="V9" i="14" s="1"/>
  <c r="Q10" i="21"/>
  <c r="Q13" i="21" s="1"/>
  <c r="Q19" i="21" s="1"/>
  <c r="BI10" i="11"/>
  <c r="V11" i="11"/>
  <c r="S9" i="17"/>
  <c r="BK15" i="11"/>
  <c r="X11" i="17"/>
  <c r="BL12" i="11"/>
  <c r="S17" i="16"/>
  <c r="BF16" i="11"/>
  <c r="Q16" i="11" s="1"/>
  <c r="BF17" i="11"/>
  <c r="V11" i="16"/>
  <c r="Q17" i="20"/>
  <c r="Q18" i="20" s="1"/>
  <c r="BH15" i="16"/>
  <c r="BH15" i="11"/>
  <c r="BJ17" i="11"/>
  <c r="V15" i="11"/>
  <c r="BH9" i="16"/>
  <c r="AP16" i="20"/>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H9" i="7"/>
  <c r="I18" i="2"/>
  <c r="G18" i="2"/>
  <c r="B18" i="6" s="1"/>
  <c r="L17" i="14"/>
  <c r="H11" i="7"/>
  <c r="B11" i="6"/>
  <c r="AL9" i="11"/>
  <c r="AO15" i="17"/>
  <c r="AO9" i="17"/>
  <c r="I15" i="7"/>
  <c r="AO15" i="11"/>
  <c r="C16" i="6"/>
  <c r="BI16" i="16"/>
  <c r="H17" i="7"/>
  <c r="AN11" i="11"/>
  <c r="D9" i="6"/>
  <c r="J9" i="12" s="1"/>
  <c r="C9" i="6"/>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AI19" i="11" l="1"/>
  <c r="F19" i="7"/>
  <c r="F18" i="11"/>
  <c r="I17" i="12"/>
  <c r="D19" i="12"/>
  <c r="I15" i="12"/>
  <c r="D19" i="5"/>
  <c r="K9" i="12"/>
  <c r="I9" i="12"/>
  <c r="H13" i="2"/>
  <c r="AL18" i="11"/>
  <c r="C18" i="6"/>
  <c r="BW21" i="20"/>
  <c r="S13" i="14"/>
  <c r="P16" i="11"/>
  <c r="Q15" i="11"/>
  <c r="V13" i="21"/>
  <c r="V19" i="21" s="1"/>
  <c r="AS16" i="20"/>
  <c r="J18" i="2"/>
  <c r="Y13" i="11"/>
  <c r="I11" i="12"/>
  <c r="G21" i="11"/>
  <c r="AM13" i="11"/>
  <c r="S18" i="14"/>
  <c r="BI18" i="11"/>
  <c r="BL18" i="11"/>
  <c r="BF18"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O20" i="11"/>
  <c r="H20" i="12"/>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P20" i="21"/>
  <c r="BS20" i="16"/>
  <c r="N20" i="2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<sst xmlns="http://schemas.openxmlformats.org/spreadsheetml/2006/main" count="2088" uniqueCount="918">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</sst>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smcpKkJTOxEtrQQgh1SEi9WagHQrWMj/OwrbxV9IfLWVSUuHHurYfwBUtn3jnwDwP2+FL++eNDGudHntQ1Cqg==" saltValue="AaskO0AN5ctxbC6ljSKU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41.182628062360806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118</v>
      </c>
      <c r="D10" s="224">
        <f>IF(ISNUMBER(Datos!I10),Datos!I10," - ")</f>
        <v>118</v>
      </c>
      <c r="E10" s="225">
        <f>IF(ISNUMBER(Datos!J10),Datos!J10," - ")</f>
        <v>17</v>
      </c>
      <c r="F10" s="225">
        <f>IF(ISNUMBER(Datos!K10),Datos!K10," - ")</f>
        <v>21</v>
      </c>
      <c r="G10" s="1033" t="str">
        <f>IF(Datos!E10&lt;&gt;"",Datos!E10,Datos!D10)</f>
        <v>37</v>
      </c>
      <c r="H10" s="226">
        <f>IF(ISNUMBER(Datos!L10),Datos!L10," - ")</f>
        <v>114</v>
      </c>
      <c r="I10" s="1043" t="str">
        <f>IF(ISNUMBER(Datos!AS10/Datos!BM10),Datos!AS10/Datos!BM10," - ")</f>
        <v xml:space="preserve"> - </v>
      </c>
      <c r="J10" s="1044">
        <f>IF(ISNUMBER(Datos!BY10/Datos!CN10),Datos!BY10/Datos!CN10," - ")</f>
        <v>0</v>
      </c>
      <c r="K10" s="229">
        <f t="shared" ref="K10:K12" si="1">IF(ISNUMBER((E10-F10)/C10),(E10-F10)/C10," - ")</f>
        <v>-3.3898305084745763E-2</v>
      </c>
      <c r="L10" s="1024">
        <f>IF(ISNUMBER(NºAsuntos!I10/NºAsuntos!G10),(NºAsuntos!I10/NºAsuntos!G10)*11," - ")</f>
        <v>59.714285714285715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23.468045112781954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118</v>
      </c>
      <c r="D13" s="1048">
        <f>SUBTOTAL(9,D9:D12)</f>
        <v>118</v>
      </c>
      <c r="E13" s="1049">
        <f>SUBTOTAL(9,E9:E12)</f>
        <v>17</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5122</v>
      </c>
      <c r="D15" s="224">
        <f>IF(ISNUMBER(IF(D_I="SI",Datos!I15,Datos!I15+Datos!AC15)),IF(D_I="SI",Datos!I15,Datos!I15+Datos!AC15)," - ")</f>
        <v>5093</v>
      </c>
      <c r="E15" s="225">
        <f>IF(ISNUMBER(IF(D_I="SI",Datos!J15,Datos!J15+Datos!AD15)),IF(D_I="SI",Datos!J15,Datos!J15+Datos!AD15)," - ")</f>
        <v>3419</v>
      </c>
      <c r="F15" s="225">
        <f>IF(ISNUMBER(IF(D_I="SI",Datos!K15,Datos!K15+Datos!AE15)),IF(D_I="SI",Datos!K15,Datos!K15+Datos!AE15)," - ")</f>
        <v>3245</v>
      </c>
      <c r="G15" s="1033" t="str">
        <f>IF(Datos!E15&lt;&gt;"",Datos!E15,Datos!D15)</f>
        <v>03</v>
      </c>
      <c r="H15" s="226">
        <f>IF(ISNUMBER(IF(D_I="SI",Datos!L15,Datos!L15+Datos!AF15)),IF(D_I="SI",Datos!L15,Datos!L15+Datos!AF15)," - ")</f>
        <v>5296</v>
      </c>
      <c r="I15" s="1043" t="str">
        <f>IF(ISNUMBER(Datos!AS15/Datos!BM15),Datos!AS15/Datos!BM15," - ")</f>
        <v xml:space="preserve"> - </v>
      </c>
      <c r="J15" s="1044">
        <f>IF(ISNUMBER(Datos!BY15/Datos!CN15),Datos!BY15/Datos!CN15," - ")</f>
        <v>0</v>
      </c>
      <c r="K15" s="229">
        <f t="shared" ref="K15:K17" si="3">IF(ISNUMBER((E15-F15)/C15),(E15-F15)/C15," - ")</f>
        <v>3.3971105037094884E-2</v>
      </c>
      <c r="L15" s="1024">
        <f>IF(ISNUMBER(NºAsuntos!I15/NºAsuntos!G15),(NºAsuntos!I15/NºAsuntos!G15)*11," - ")</f>
        <v>17.952542372881357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563</v>
      </c>
      <c r="D17" s="224">
        <f>IF(ISNUMBER(IF(D_I="SI",Datos!I17,Datos!I17+Datos!AC17)),IF(D_I="SI",Datos!I17,Datos!I17+Datos!AC17)," - ")</f>
        <v>563</v>
      </c>
      <c r="E17" s="225">
        <f>IF(ISNUMBER(IF(D_I="SI",Datos!J17,Datos!J17+Datos!AD17)),IF(D_I="SI",Datos!J17,Datos!J17+Datos!AD17)," - ")</f>
        <v>228</v>
      </c>
      <c r="F17" s="225">
        <f>IF(ISNUMBER(IF(D_I="SI",Datos!K17,Datos!K17+Datos!AE17)),IF(D_I="SI",Datos!K17,Datos!K17+Datos!AE17)," - ")</f>
        <v>195</v>
      </c>
      <c r="G17" s="1033" t="str">
        <f>IF(Datos!E17&lt;&gt;"",Datos!E17,Datos!D17)</f>
        <v>37</v>
      </c>
      <c r="H17" s="226">
        <f>IF(ISNUMBER(IF(D_I="SI",Datos!L17,Datos!L17+Datos!AF17)),IF(D_I="SI",Datos!L17,Datos!L17+Datos!AF17)," - ")</f>
        <v>596</v>
      </c>
      <c r="I17" s="1043" t="str">
        <f>IF(ISNUMBER(Datos!AS17/Datos!BM17),Datos!AS17/Datos!BM17," - ")</f>
        <v xml:space="preserve"> - </v>
      </c>
      <c r="J17" s="1044" t="str">
        <f>IF(ISNUMBER((Datos!BY17+Datos!BZ17)/Datos!CN17),(Datos!BY17+Datos!BZ17)/Datos!CN17," - ")</f>
        <v xml:space="preserve"> - </v>
      </c>
      <c r="K17" s="229">
        <f t="shared" si="3"/>
        <v>5.8614564831261103E-2</v>
      </c>
      <c r="L17" s="1024">
        <f>IF(ISNUMBER(NºAsuntos!I17/NºAsuntos!G17),(NºAsuntos!I17/NºAsuntos!G17)*11," - ")</f>
        <v>33.620512820512815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5685</v>
      </c>
      <c r="D18" s="1048">
        <f>SUBTOTAL(9,D15:D17)</f>
        <v>5656</v>
      </c>
      <c r="E18" s="1049">
        <f>SUBTOTAL(9,E15:E17)</f>
        <v>3647</v>
      </c>
      <c r="F18" s="1049">
        <f>SUBTOTAL(9,F15:F17)</f>
        <v>3440</v>
      </c>
      <c r="G18" s="1051" t="str">
        <f ca="1">INDIRECT(CONCATENATE("G",ROW()-1))</f>
        <v>37</v>
      </c>
      <c r="H18" s="1052">
        <f ca="1">SUMIF(G$14:G17,G18,H$14:H17)</f>
        <v>596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5803</v>
      </c>
      <c r="D19" s="1070">
        <f>SUBTOTAL(9,D9:D18)</f>
        <v>5774</v>
      </c>
      <c r="E19" s="1071">
        <f>SUBTOTAL(9,E9:E18)</f>
        <v>3664</v>
      </c>
      <c r="F19" s="1071">
        <f>SUBTOTAL(9,F9:F18)</f>
        <v>3461</v>
      </c>
      <c r="G19" s="1072"/>
      <c r="H19" s="1073">
        <f ca="1">SUMIF(B9:B18,"TOTAL",H9:H18)</f>
        <v>596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GFkmsIpvOkDJr/c4R8p2WWFAZyW5JQzRav8HwiGJ5/rHr142V6rvY0EJV+53gH3WbMm5XWrsLK5iIw/XTwKMw==" saltValue="pO41zmKO77coLQ3BUyWS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n6EnR9MiHDr2Q5P0A7PwBgyzZmjQCdQbGP/KatS/Dy2u3Z5R7KUPBjAS2eCPdUN/emqXosxBfoiNzphIfIFNg==" saltValue="UlfnMuiiN0fXqFjA36YV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8760</v>
      </c>
      <c r="J9" s="180">
        <v>1743</v>
      </c>
      <c r="K9" s="180">
        <v>2150</v>
      </c>
      <c r="L9" s="180">
        <v>8257</v>
      </c>
      <c r="M9" s="180">
        <v>536</v>
      </c>
      <c r="N9" s="180">
        <v>999</v>
      </c>
      <c r="O9" s="180">
        <v>1061</v>
      </c>
      <c r="P9" s="180">
        <v>1704</v>
      </c>
      <c r="Q9" s="180">
        <v>1782</v>
      </c>
      <c r="R9" s="180">
        <v>13755</v>
      </c>
      <c r="S9" s="180">
        <v>7147</v>
      </c>
      <c r="T9" s="180">
        <v>2462</v>
      </c>
      <c r="U9" s="180">
        <v>2567</v>
      </c>
      <c r="V9" s="180">
        <v>7050</v>
      </c>
      <c r="W9" s="180">
        <v>642</v>
      </c>
      <c r="X9" s="187">
        <v>1138</v>
      </c>
      <c r="Y9" s="190">
        <v>112</v>
      </c>
      <c r="Z9" s="180">
        <v>131</v>
      </c>
      <c r="AA9" s="180">
        <v>95</v>
      </c>
      <c r="AB9" s="180">
        <v>148</v>
      </c>
      <c r="AC9" s="180">
        <v>0</v>
      </c>
      <c r="AD9" s="180">
        <v>0</v>
      </c>
      <c r="AE9" s="180">
        <v>0</v>
      </c>
      <c r="AF9" s="187">
        <v>0</v>
      </c>
      <c r="AG9" s="190">
        <v>97</v>
      </c>
      <c r="AH9" s="180">
        <v>51</v>
      </c>
      <c r="AI9" s="180">
        <v>54</v>
      </c>
      <c r="AJ9" s="191">
        <v>94</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7244</v>
      </c>
      <c r="AZ9" s="123">
        <f>IF(ISNUMBER(IF(J_V="SI",T9,T9+AH9)),IF(J_V="SI",T9,T9+AH9)," - ")</f>
        <v>2513</v>
      </c>
      <c r="BA9" s="124">
        <f>IF(ISNUMBER(IF(J_V="SI",U9,U9+AI9)),IF(J_V="SI",U9,U9+AI9)," - ")</f>
        <v>2621</v>
      </c>
      <c r="BB9" s="124">
        <f>IF(ISNUMBER(IF(J_V="SI",V9,V9+AJ9)),IF(J_V="SI",V9,V9+AJ9)," - ")</f>
        <v>7144</v>
      </c>
      <c r="BC9" s="125">
        <f>IF(ISNUMBER(X9),X9," - ")</f>
        <v>1138</v>
      </c>
      <c r="BD9" s="126">
        <f>IF(ISNUMBER(BA9/AZ9),BA9/AZ9," - ")</f>
        <v>1.0429765220851572</v>
      </c>
      <c r="BE9" s="127">
        <f>IF(ISNUMBER(BB9/BA9),BB9/BA9, " - ")</f>
        <v>2.7256772224341854</v>
      </c>
      <c r="BF9" s="127">
        <f>IF(ISNUMBER(BC9/BA9),BC9/BA9, " - ")</f>
        <v>0.43418542541014882</v>
      </c>
      <c r="BG9" s="195">
        <f>IF(ISNUMBER((AY9+AZ9)/BA9),(AY9+AZ9)/BA9," - ")</f>
        <v>3.7226249523082795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118</v>
      </c>
      <c r="J10" s="180">
        <v>17</v>
      </c>
      <c r="K10" s="180">
        <v>21</v>
      </c>
      <c r="L10" s="180">
        <v>114</v>
      </c>
      <c r="M10" s="180">
        <v>6</v>
      </c>
      <c r="N10" s="180">
        <v>10</v>
      </c>
      <c r="O10" s="180">
        <v>7</v>
      </c>
      <c r="P10" s="180">
        <v>4</v>
      </c>
      <c r="Q10" s="180">
        <v>4</v>
      </c>
      <c r="R10" s="180">
        <v>189</v>
      </c>
      <c r="S10" s="180">
        <v>99</v>
      </c>
      <c r="T10" s="180">
        <v>28</v>
      </c>
      <c r="U10" s="180">
        <v>31</v>
      </c>
      <c r="V10" s="180">
        <v>96</v>
      </c>
      <c r="W10" s="180">
        <v>15</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99</v>
      </c>
      <c r="AZ10" s="129">
        <f t="shared" si="0"/>
        <v>28</v>
      </c>
      <c r="BA10" s="129">
        <f t="shared" si="0"/>
        <v>31</v>
      </c>
      <c r="BB10" s="129">
        <f t="shared" si="0"/>
        <v>96</v>
      </c>
      <c r="BC10" s="125">
        <f t="shared" si="0"/>
        <v>15</v>
      </c>
      <c r="BD10" s="126">
        <f>IF(ISNUMBER(BA10/AZ10),BA10/AZ10," - ")</f>
        <v>1.1071428571428572</v>
      </c>
      <c r="BE10" s="127">
        <f>IF(ISNUMBER(BB10/BA10),BB10/BA10, " - ")</f>
        <v>3.096774193548387</v>
      </c>
      <c r="BF10" s="127">
        <f>IF(ISNUMBER(BC10/BA10),BC10/BA10, " - ")</f>
        <v>0.4838709677419355</v>
      </c>
      <c r="BG10" s="195">
        <f>IF(ISNUMBER((AY10+AZ10)/BA10),(AY10+AZ10)/BA10," - ")</f>
        <v>4.096774193548387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1158</v>
      </c>
      <c r="J11" s="182">
        <v>302</v>
      </c>
      <c r="K11" s="182">
        <v>375</v>
      </c>
      <c r="L11" s="182">
        <v>1084</v>
      </c>
      <c r="M11" s="182">
        <v>136</v>
      </c>
      <c r="N11" s="182">
        <v>243</v>
      </c>
      <c r="O11" s="180">
        <v>184</v>
      </c>
      <c r="P11" s="182">
        <v>87</v>
      </c>
      <c r="Q11" s="182">
        <v>74</v>
      </c>
      <c r="R11" s="182">
        <v>1217</v>
      </c>
      <c r="S11" s="182">
        <v>1161</v>
      </c>
      <c r="T11" s="182">
        <v>392</v>
      </c>
      <c r="U11" s="182">
        <v>359</v>
      </c>
      <c r="V11" s="182">
        <v>1194</v>
      </c>
      <c r="W11" s="182">
        <v>128</v>
      </c>
      <c r="X11" s="188">
        <v>310</v>
      </c>
      <c r="Y11" s="190">
        <v>53</v>
      </c>
      <c r="Z11" s="180">
        <v>155</v>
      </c>
      <c r="AA11" s="180">
        <v>157</v>
      </c>
      <c r="AB11" s="180">
        <v>51</v>
      </c>
      <c r="AC11" s="182">
        <v>0</v>
      </c>
      <c r="AD11" s="182">
        <v>0</v>
      </c>
      <c r="AE11" s="182">
        <v>0</v>
      </c>
      <c r="AF11" s="188">
        <v>0</v>
      </c>
      <c r="AG11" s="201">
        <v>79</v>
      </c>
      <c r="AH11" s="182">
        <v>150</v>
      </c>
      <c r="AI11" s="182">
        <v>173</v>
      </c>
      <c r="AJ11" s="202">
        <v>56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1240</v>
      </c>
      <c r="AZ11" s="127">
        <f t="shared" si="1"/>
        <v>542</v>
      </c>
      <c r="BA11" s="127">
        <f t="shared" si="1"/>
        <v>532</v>
      </c>
      <c r="BB11" s="127">
        <f t="shared" si="1"/>
        <v>1250</v>
      </c>
      <c r="BC11" s="125">
        <f>IF(ISNUMBER(X11),X11," - ")</f>
        <v>310</v>
      </c>
      <c r="BD11" s="126">
        <f t="shared" ref="BD11:BD12" si="2">IF(ISNUMBER(BA11/AZ11),BA11/AZ11," - ")</f>
        <v>0.98154981549815501</v>
      </c>
      <c r="BE11" s="127">
        <f t="shared" ref="BE11:BE12" si="3">IF(ISNUMBER(BB11/BA11),BB11/BA11, " - ")</f>
        <v>2.3496240601503757</v>
      </c>
      <c r="BF11" s="127">
        <f t="shared" ref="BF11:BF12" si="4">IF(ISNUMBER(BC11/BA11),BC11/BA11, " - ")</f>
        <v>0.58270676691729328</v>
      </c>
      <c r="BG11" s="195">
        <f t="shared" ref="BG11:BG12" si="5">IF(ISNUMBER((AY11+AZ11)/BA11),(AY11+AZ11)/BA11," - ")</f>
        <v>3.3496240601503757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10036</v>
      </c>
      <c r="J13" s="183">
        <f t="shared" si="6"/>
        <v>2062</v>
      </c>
      <c r="K13" s="183">
        <f t="shared" si="6"/>
        <v>2546</v>
      </c>
      <c r="L13" s="183">
        <f t="shared" si="6"/>
        <v>9455</v>
      </c>
      <c r="M13" s="183">
        <f t="shared" si="6"/>
        <v>678</v>
      </c>
      <c r="N13" s="183">
        <f t="shared" si="6"/>
        <v>1252</v>
      </c>
      <c r="O13" s="183">
        <f t="shared" si="6"/>
        <v>1252</v>
      </c>
      <c r="P13" s="183">
        <f t="shared" si="6"/>
        <v>1795</v>
      </c>
      <c r="Q13" s="183">
        <f t="shared" si="6"/>
        <v>1860</v>
      </c>
      <c r="R13" s="183">
        <f t="shared" si="6"/>
        <v>15161</v>
      </c>
      <c r="S13" s="183">
        <f t="shared" si="6"/>
        <v>8407</v>
      </c>
      <c r="T13" s="183">
        <f t="shared" si="6"/>
        <v>2882</v>
      </c>
      <c r="U13" s="183">
        <f t="shared" si="6"/>
        <v>2957</v>
      </c>
      <c r="V13" s="183">
        <f t="shared" si="6"/>
        <v>8340</v>
      </c>
      <c r="W13" s="183">
        <f t="shared" si="6"/>
        <v>785</v>
      </c>
      <c r="X13" s="183">
        <f t="shared" si="6"/>
        <v>1455</v>
      </c>
      <c r="Y13" s="183">
        <f t="shared" si="6"/>
        <v>165</v>
      </c>
      <c r="Z13" s="183">
        <f t="shared" si="6"/>
        <v>286</v>
      </c>
      <c r="AA13" s="183">
        <f t="shared" si="6"/>
        <v>252</v>
      </c>
      <c r="AB13" s="183">
        <f t="shared" si="6"/>
        <v>199</v>
      </c>
      <c r="AC13" s="183">
        <f t="shared" si="6"/>
        <v>0</v>
      </c>
      <c r="AD13" s="183">
        <f t="shared" si="6"/>
        <v>0</v>
      </c>
      <c r="AE13" s="183">
        <f t="shared" si="6"/>
        <v>0</v>
      </c>
      <c r="AF13" s="183">
        <f>SUBTOTAL(9,AF9:AF12)</f>
        <v>0</v>
      </c>
      <c r="AG13" s="183">
        <f t="shared" ref="AG13:AT13" si="7">SUBTOTAL(9,AG8:AG12)</f>
        <v>176</v>
      </c>
      <c r="AH13" s="183">
        <f t="shared" si="7"/>
        <v>201</v>
      </c>
      <c r="AI13" s="183">
        <f t="shared" si="7"/>
        <v>227</v>
      </c>
      <c r="AJ13" s="183">
        <f t="shared" si="7"/>
        <v>150</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8583</v>
      </c>
      <c r="AZ13" s="183">
        <f>SUBTOTAL(9,AZ8:AZ12)</f>
        <v>3083</v>
      </c>
      <c r="BA13" s="183">
        <f>SUBTOTAL(9,BA8:BA12)</f>
        <v>3184</v>
      </c>
      <c r="BB13" s="183">
        <f>SUBTOTAL(9,BB8:BB12)</f>
        <v>8490</v>
      </c>
      <c r="BC13" s="183">
        <f>SUBTOTAL(9,BC8:BC12)</f>
        <v>1463</v>
      </c>
      <c r="BD13" s="204">
        <f>IF(ISNUMBER(BA13/AZ13),BA13/AZ13," - ")</f>
        <v>1.032760298410639</v>
      </c>
      <c r="BE13" s="205">
        <f>IF(ISNUMBER(BB13/BA13),BB13/BA13, " - ")</f>
        <v>2.666457286432161</v>
      </c>
      <c r="BF13" s="205">
        <f>IF(ISNUMBER(BC13/BA13),BC13/BA13, " - ")</f>
        <v>0.45948492462311558</v>
      </c>
      <c r="BG13" s="206">
        <f>IF(ISNUMBER((AY13+AZ13)/BA13),(AY13+AZ13)/BA13," - ")</f>
        <v>3.6639447236180906</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5093</v>
      </c>
      <c r="J15" s="182">
        <v>3419</v>
      </c>
      <c r="K15" s="182">
        <v>3245</v>
      </c>
      <c r="L15" s="182">
        <v>5296</v>
      </c>
      <c r="M15" s="182">
        <v>286</v>
      </c>
      <c r="N15" s="182">
        <v>1890</v>
      </c>
      <c r="O15" s="180">
        <v>29</v>
      </c>
      <c r="P15" s="182">
        <v>86</v>
      </c>
      <c r="Q15" s="182">
        <v>113</v>
      </c>
      <c r="R15" s="182">
        <v>424</v>
      </c>
      <c r="S15" s="182">
        <v>4610</v>
      </c>
      <c r="T15" s="182">
        <v>3169</v>
      </c>
      <c r="U15" s="182">
        <v>3006</v>
      </c>
      <c r="V15" s="182">
        <v>4804</v>
      </c>
      <c r="W15" s="182">
        <v>264</v>
      </c>
      <c r="X15" s="188">
        <v>1603</v>
      </c>
      <c r="Y15" s="201">
        <v>0</v>
      </c>
      <c r="Z15" s="182">
        <v>0</v>
      </c>
      <c r="AA15" s="182">
        <v>0</v>
      </c>
      <c r="AB15" s="182">
        <v>0</v>
      </c>
      <c r="AC15" s="182">
        <v>16</v>
      </c>
      <c r="AD15" s="182">
        <v>328</v>
      </c>
      <c r="AE15" s="182">
        <v>314</v>
      </c>
      <c r="AF15" s="188">
        <v>30</v>
      </c>
      <c r="AG15" s="201">
        <v>0</v>
      </c>
      <c r="AH15" s="182">
        <v>0</v>
      </c>
      <c r="AI15" s="182">
        <v>0</v>
      </c>
      <c r="AJ15" s="202">
        <v>0</v>
      </c>
      <c r="AK15" s="181">
        <v>14</v>
      </c>
      <c r="AL15" s="182">
        <v>322</v>
      </c>
      <c r="AM15" s="182">
        <v>317</v>
      </c>
      <c r="AN15" s="188">
        <v>19</v>
      </c>
      <c r="AO15" s="258">
        <v>5</v>
      </c>
      <c r="AP15" s="154">
        <v>5</v>
      </c>
      <c r="AQ15" s="154">
        <v>5</v>
      </c>
      <c r="AR15" s="154">
        <v>5</v>
      </c>
      <c r="AS15" s="339" t="s">
        <v>522</v>
      </c>
      <c r="AT15" s="202" t="s">
        <v>326</v>
      </c>
      <c r="AU15" s="201"/>
      <c r="AV15" s="202"/>
      <c r="AW15" s="201"/>
      <c r="AX15" s="202"/>
      <c r="AY15" s="128">
        <f t="shared" ref="AY15:BB16" si="9">IF(ISNUMBER(IF(D_I="SI",S15,S15+AK15)),IF(D_I="SI",S15,S15+AK15)," - ")</f>
        <v>4610</v>
      </c>
      <c r="AZ15" s="129">
        <f t="shared" si="9"/>
        <v>3169</v>
      </c>
      <c r="BA15" s="129">
        <f t="shared" si="9"/>
        <v>3006</v>
      </c>
      <c r="BB15" s="129">
        <f t="shared" si="9"/>
        <v>4804</v>
      </c>
      <c r="BC15" s="125">
        <f>IF(ISNUMBER(W15),W15," - ")</f>
        <v>264</v>
      </c>
      <c r="BD15" s="126">
        <f>IF(ISNUMBER(BA15/AZ15),BA15/AZ15," - ")</f>
        <v>0.94856421584095929</v>
      </c>
      <c r="BE15" s="127">
        <f>IF(ISNUMBER(BB15/BA15),BB15/BA15, " - ")</f>
        <v>1.5981370592149036</v>
      </c>
      <c r="BF15" s="127">
        <f>IF(ISNUMBER(BC15/BA15),BC15/BA15, " - ")</f>
        <v>8.7824351297405193E-2</v>
      </c>
      <c r="BG15" s="195">
        <f t="shared" ref="BG15:BG16" si="10">IF(ISNUMBER((AY15+AZ15)/BA15),(AY15+AZ15)/BA15," - ")</f>
        <v>2.5878243512974053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563</v>
      </c>
      <c r="J17" s="182">
        <v>228</v>
      </c>
      <c r="K17" s="182">
        <v>195</v>
      </c>
      <c r="L17" s="182">
        <v>596</v>
      </c>
      <c r="M17" s="182">
        <v>14</v>
      </c>
      <c r="N17" s="182">
        <v>77</v>
      </c>
      <c r="O17" s="182">
        <v>0</v>
      </c>
      <c r="P17" s="182">
        <v>0</v>
      </c>
      <c r="Q17" s="182">
        <v>0</v>
      </c>
      <c r="R17" s="182">
        <v>0</v>
      </c>
      <c r="S17" s="182">
        <v>408</v>
      </c>
      <c r="T17" s="182">
        <v>248</v>
      </c>
      <c r="U17" s="182">
        <v>224</v>
      </c>
      <c r="V17" s="182">
        <v>434</v>
      </c>
      <c r="W17" s="182">
        <v>10</v>
      </c>
      <c r="X17" s="188">
        <v>136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408</v>
      </c>
      <c r="AZ17" s="129">
        <f t="shared" si="14"/>
        <v>248</v>
      </c>
      <c r="BA17" s="129">
        <f t="shared" si="14"/>
        <v>224</v>
      </c>
      <c r="BB17" s="129">
        <f t="shared" si="14"/>
        <v>434</v>
      </c>
      <c r="BC17" s="125">
        <f>IF(ISNUMBER(W17),W17," - ")</f>
        <v>10</v>
      </c>
      <c r="BD17" s="126">
        <f>IF(ISNUMBER(BA17/AZ17),BA17/AZ17," - ")</f>
        <v>0.90322580645161288</v>
      </c>
      <c r="BE17" s="127">
        <f>IF(ISNUMBER(BB17/BA17),BB17/BA17, " - ")</f>
        <v>1.9375</v>
      </c>
      <c r="BF17" s="127">
        <f>IF(ISNUMBER(BC17/BA17),BC17/BA17, " - ")</f>
        <v>4.4642857142857144E-2</v>
      </c>
      <c r="BG17" s="195">
        <f>IF(ISNUMBER((AY17+AZ17)/BA17),(AY17+AZ17)/BA17," - ")</f>
        <v>2.9285714285714284</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5656</v>
      </c>
      <c r="J18" s="183">
        <f t="shared" si="15"/>
        <v>3647</v>
      </c>
      <c r="K18" s="183">
        <f t="shared" si="15"/>
        <v>3440</v>
      </c>
      <c r="L18" s="183">
        <f t="shared" si="15"/>
        <v>5892</v>
      </c>
      <c r="M18" s="183">
        <f t="shared" si="15"/>
        <v>300</v>
      </c>
      <c r="N18" s="183">
        <f t="shared" si="15"/>
        <v>1967</v>
      </c>
      <c r="O18" s="183">
        <f t="shared" si="15"/>
        <v>29</v>
      </c>
      <c r="P18" s="183">
        <f t="shared" si="15"/>
        <v>86</v>
      </c>
      <c r="Q18" s="183">
        <f t="shared" si="15"/>
        <v>113</v>
      </c>
      <c r="R18" s="183">
        <f t="shared" si="15"/>
        <v>424</v>
      </c>
      <c r="S18" s="183">
        <f t="shared" si="15"/>
        <v>5018</v>
      </c>
      <c r="T18" s="183">
        <f t="shared" si="15"/>
        <v>3417</v>
      </c>
      <c r="U18" s="183">
        <f t="shared" si="15"/>
        <v>3230</v>
      </c>
      <c r="V18" s="183">
        <f t="shared" si="15"/>
        <v>5238</v>
      </c>
      <c r="W18" s="183">
        <f t="shared" si="15"/>
        <v>274</v>
      </c>
      <c r="X18" s="183">
        <f t="shared" si="15"/>
        <v>1739</v>
      </c>
      <c r="Y18" s="183">
        <f t="shared" si="15"/>
        <v>0</v>
      </c>
      <c r="Z18" s="183">
        <f t="shared" si="15"/>
        <v>0</v>
      </c>
      <c r="AA18" s="183">
        <f t="shared" si="15"/>
        <v>0</v>
      </c>
      <c r="AB18" s="183">
        <f t="shared" si="15"/>
        <v>0</v>
      </c>
      <c r="AC18" s="183">
        <f t="shared" si="15"/>
        <v>16</v>
      </c>
      <c r="AD18" s="183">
        <f t="shared" si="15"/>
        <v>328</v>
      </c>
      <c r="AE18" s="183">
        <f t="shared" si="15"/>
        <v>314</v>
      </c>
      <c r="AF18" s="183">
        <f t="shared" si="15"/>
        <v>30</v>
      </c>
      <c r="AG18" s="183">
        <f t="shared" si="15"/>
        <v>0</v>
      </c>
      <c r="AH18" s="183">
        <f t="shared" si="15"/>
        <v>0</v>
      </c>
      <c r="AI18" s="183">
        <f t="shared" si="15"/>
        <v>0</v>
      </c>
      <c r="AJ18" s="183">
        <f t="shared" si="15"/>
        <v>0</v>
      </c>
      <c r="AK18" s="183">
        <f t="shared" si="15"/>
        <v>14</v>
      </c>
      <c r="AL18" s="183">
        <f t="shared" si="15"/>
        <v>322</v>
      </c>
      <c r="AM18" s="183">
        <f t="shared" si="15"/>
        <v>317</v>
      </c>
      <c r="AN18" s="183">
        <f t="shared" si="15"/>
        <v>19</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5018</v>
      </c>
      <c r="AZ18" s="183">
        <f>SUBTOTAL(9,AZ14:AZ17)</f>
        <v>3417</v>
      </c>
      <c r="BA18" s="183">
        <f>SUBTOTAL(9,BA14:BA17)</f>
        <v>3230</v>
      </c>
      <c r="BB18" s="183">
        <f>SUBTOTAL(9,BB14:BB17)</f>
        <v>5238</v>
      </c>
      <c r="BC18" s="183">
        <f>SUBTOTAL(9,BC14:BC17)</f>
        <v>274</v>
      </c>
      <c r="BD18" s="204">
        <f>IF(ISNUMBER(BA18/AZ18),BA18/AZ18," - ")</f>
        <v>0.94527363184079605</v>
      </c>
      <c r="BE18" s="205">
        <f>IF(ISNUMBER(BB18/BA18),BB18/BA18, " - ")</f>
        <v>1.6216718266253869</v>
      </c>
      <c r="BF18" s="205">
        <f>IF(ISNUMBER(BC18/BA18),BC18/BA18, " - ")</f>
        <v>8.4829721362229105E-2</v>
      </c>
      <c r="BG18" s="206">
        <f>IF(ISNUMBER((AY18+AZ18)/BA18),(AY18+AZ18)/BA18," - ")</f>
        <v>2.6114551083591331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15692</v>
      </c>
      <c r="J19" s="134">
        <f t="shared" si="18"/>
        <v>5709</v>
      </c>
      <c r="K19" s="134">
        <f t="shared" si="18"/>
        <v>5986</v>
      </c>
      <c r="L19" s="134">
        <f t="shared" si="18"/>
        <v>15347</v>
      </c>
      <c r="M19" s="134">
        <f t="shared" si="18"/>
        <v>978</v>
      </c>
      <c r="N19" s="134">
        <f t="shared" si="18"/>
        <v>3219</v>
      </c>
      <c r="O19" s="134">
        <f t="shared" si="18"/>
        <v>1281</v>
      </c>
      <c r="P19" s="134">
        <f t="shared" si="18"/>
        <v>1881</v>
      </c>
      <c r="Q19" s="134">
        <f t="shared" si="18"/>
        <v>1973</v>
      </c>
      <c r="R19" s="134">
        <f t="shared" si="18"/>
        <v>15585</v>
      </c>
      <c r="S19" s="134">
        <f t="shared" si="18"/>
        <v>13425</v>
      </c>
      <c r="T19" s="134">
        <f t="shared" si="18"/>
        <v>6299</v>
      </c>
      <c r="U19" s="134">
        <f t="shared" si="18"/>
        <v>6187</v>
      </c>
      <c r="V19" s="134">
        <f t="shared" si="18"/>
        <v>13578</v>
      </c>
      <c r="W19" s="134">
        <f t="shared" si="18"/>
        <v>1059</v>
      </c>
      <c r="X19" s="134">
        <f t="shared" si="18"/>
        <v>3194</v>
      </c>
      <c r="Y19" s="134">
        <f t="shared" si="18"/>
        <v>165</v>
      </c>
      <c r="Z19" s="134">
        <f t="shared" si="18"/>
        <v>286</v>
      </c>
      <c r="AA19" s="134">
        <f t="shared" si="18"/>
        <v>252</v>
      </c>
      <c r="AB19" s="134">
        <f t="shared" si="18"/>
        <v>199</v>
      </c>
      <c r="AC19" s="134">
        <f t="shared" si="18"/>
        <v>16</v>
      </c>
      <c r="AD19" s="134">
        <f t="shared" si="18"/>
        <v>328</v>
      </c>
      <c r="AE19" s="134">
        <f t="shared" si="18"/>
        <v>314</v>
      </c>
      <c r="AF19" s="134">
        <f t="shared" si="18"/>
        <v>30</v>
      </c>
      <c r="AG19" s="134">
        <f t="shared" si="18"/>
        <v>176</v>
      </c>
      <c r="AH19" s="134">
        <f t="shared" si="18"/>
        <v>201</v>
      </c>
      <c r="AI19" s="134">
        <f t="shared" si="18"/>
        <v>227</v>
      </c>
      <c r="AJ19" s="134">
        <f t="shared" si="18"/>
        <v>150</v>
      </c>
      <c r="AK19" s="134">
        <f t="shared" si="18"/>
        <v>14</v>
      </c>
      <c r="AL19" s="134">
        <f t="shared" si="18"/>
        <v>322</v>
      </c>
      <c r="AM19" s="134">
        <f t="shared" si="18"/>
        <v>317</v>
      </c>
      <c r="AN19" s="209">
        <f t="shared" si="18"/>
        <v>19</v>
      </c>
      <c r="AO19" s="210">
        <v>16</v>
      </c>
      <c r="AP19" s="210">
        <v>15</v>
      </c>
      <c r="AQ19" s="210">
        <v>15</v>
      </c>
      <c r="AR19" s="210">
        <v>15</v>
      </c>
      <c r="AS19" s="152">
        <f t="shared" si="18"/>
        <v>0</v>
      </c>
      <c r="AT19" s="152">
        <f t="shared" si="18"/>
        <v>0</v>
      </c>
      <c r="AU19" s="210"/>
      <c r="AV19" s="211"/>
      <c r="AW19" s="210"/>
      <c r="AX19" s="211"/>
      <c r="AY19" s="133">
        <f>SUBTOTAL(9,AY9:AY18)</f>
        <v>13601</v>
      </c>
      <c r="AZ19" s="134">
        <f>SUBTOTAL(9,AZ9:AZ18)</f>
        <v>6500</v>
      </c>
      <c r="BA19" s="134">
        <f>SUBTOTAL(9,BA9:BA18)</f>
        <v>6414</v>
      </c>
      <c r="BB19" s="134">
        <f>SUBTOTAL(9,BB9:BB18)</f>
        <v>13728</v>
      </c>
      <c r="BC19" s="135">
        <f>SUBTOTAL(9,BC9:BC18)</f>
        <v>1737</v>
      </c>
      <c r="BD19" s="212">
        <f>IF(ISNUMBER(BA19/AZ19),BA19/AZ19," - ")</f>
        <v>0.98676923076923073</v>
      </c>
      <c r="BE19" s="209">
        <f>IF(ISNUMBER(BB19/BA19),BB19/BA19, " - ")</f>
        <v>2.1403180542563143</v>
      </c>
      <c r="BF19" s="209">
        <f>IF(ISNUMBER(BC19/BA19),BC19/BA19, " - ")</f>
        <v>0.27081384471468661</v>
      </c>
      <c r="BG19" s="135">
        <f>IF(ISNUMBER((AY19+AZ19)/BA19),(AY19+AZ19)/BA19," - ")</f>
        <v>3.1339257873401931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rYb7KFBVlPfXLzNkLEO5xgBoYo26eExRqFsaA7nXB8yrTDBw6Vy71Kc9iqUQ8AKcZvhgBwxUWOfoW1HlN+Lg==" saltValue="R/1TEZzAuELodycN0FGH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Vs6i78Qra2obCw56V4PVTQBGgrsaeePmb0Tk/iCupF7GRMUbn3xcQCCDBiVRljjHBkR5Ac6PmXMJ8evK+RaHw==" saltValue="1BcI1T16DYdtto7ruLPO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131</v>
      </c>
      <c r="O9" s="333"/>
      <c r="P9" s="333"/>
      <c r="Q9" s="225">
        <f>IF(ISNUMBER(Datos!P9),Datos!P9,0)</f>
        <v>1704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1782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148</v>
      </c>
      <c r="AI9" s="333" t="str">
        <f>IF(ISNUMBER(Datos!CD9),Datos!CD9,"-")</f>
        <v>-</v>
      </c>
      <c r="AJ9" s="333" t="str">
        <f>IF(ISNUMBER(Datos!EN9),Datos!EN9," - ")</f>
        <v xml:space="preserve"> - </v>
      </c>
      <c r="AK9" s="333"/>
      <c r="AL9" s="478"/>
      <c r="AM9" s="334">
        <f>IF(ISNUMBER(Datos!R9),Datos!R9," - ")</f>
        <v>13755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536</v>
      </c>
      <c r="BD9" s="228">
        <f>IF(ISNUMBER(Datos!N9),Datos!N9," - ")</f>
        <v>999</v>
      </c>
      <c r="BE9" s="228" t="str">
        <f>IF(ISNUMBER(Datos!BW9),Datos!BW9," - ")</f>
        <v xml:space="preserve"> - </v>
      </c>
      <c r="BF9" s="227" t="str">
        <f>IF(ISNUMBER(Datos!BX9),Datos!BX9," - ")</f>
        <v xml:space="preserve"> - </v>
      </c>
      <c r="BG9" s="242">
        <f>IF(ISNUMBER(IF(J_V="SI",Datos!K9/Datos!J9,(Datos!K9+Datos!AA9)/(Datos!J9+Datos!Z9))),IF(J_V="SI",Datos!K9/Datos!J9,(Datos!K9+Datos!AA9)/(Datos!J9+Datos!Z9))," - ")</f>
        <v>1.1979722518676628</v>
      </c>
      <c r="BH9" s="259">
        <f>IF(ISNUMBER(((IF(J_V="SI",Datos!L9/Datos!K9,(Datos!L9+Datos!AB9)/(Datos!K9+Datos!AA9)))*11)/factor_trimestre),((IF(J_V="SI",Datos!L9/Datos!K9,(Datos!L9+Datos!AB9)/(Datos!K9+Datos!AA9)))*11)/factor_trimestre," - ")</f>
        <v>7.4877505567928742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-5.6386900889178054E-3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4</v>
      </c>
      <c r="AD10" s="333"/>
      <c r="AE10" s="483"/>
      <c r="AF10" s="331">
        <f>IF(ISNUMBER(Datos!L10),Datos!L10,"-")</f>
        <v>114</v>
      </c>
      <c r="AG10" s="333"/>
      <c r="AH10" s="333"/>
      <c r="AI10" s="333"/>
      <c r="AJ10" s="333"/>
      <c r="AK10" s="333"/>
      <c r="AL10" s="478"/>
      <c r="AM10" s="334">
        <f>IF(ISNUMBER(Datos!R10),Datos!R10," - ")</f>
        <v>189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10</v>
      </c>
      <c r="BE10" s="228" t="str">
        <f>IF(ISNUMBER(Datos!BW10),Datos!BW10," - ")</f>
        <v xml:space="preserve"> - </v>
      </c>
      <c r="BF10" s="227" t="str">
        <f>IF(ISNUMBER(Datos!BX10),Datos!BX10," - ")</f>
        <v xml:space="preserve"> - </v>
      </c>
      <c r="BG10" s="242">
        <f>IF(ISNUMBER(Datos!K10/Datos!J10),Datos!K10/Datos!J10," - ")</f>
        <v>1.2352941176470589</v>
      </c>
      <c r="BH10" s="259">
        <f>IF(ISNUMBER(((Datos!L10/Datos!K10)*11)/factor_trimestre),((Datos!L10/Datos!K10)*11)/factor_trimestre," - ")</f>
        <v>10.857142857142858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155</v>
      </c>
      <c r="O11" s="333"/>
      <c r="P11" s="333"/>
      <c r="Q11" s="225">
        <f>IF(ISNUMBER(Datos!P11),Datos!P11,0)</f>
        <v>87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74</v>
      </c>
      <c r="AD11" s="333"/>
      <c r="AE11" s="483"/>
      <c r="AF11" s="331" t="str">
        <f>IF(ISNUMBER(IF(J_V="SI",Datos!L11,Datos!L11+Datos!AB11)-IF(Monitorios="SI",Datos!CD11,0)),
                          IF(J_V="SI",Datos!L11,Datos!L11+Datos!AB11)-IF(Monitorios="SI",Datos!CD11,0),
                          " - ")</f>
        <v xml:space="preserve"> - </v>
      </c>
      <c r="AG11" s="333"/>
      <c r="AH11" s="333">
        <f>IF(ISNUMBER(Datos!AB11),Datos!AB11,"-")</f>
        <v>51</v>
      </c>
      <c r="AI11" s="333"/>
      <c r="AJ11" s="333"/>
      <c r="AK11" s="333"/>
      <c r="AL11" s="478"/>
      <c r="AM11" s="334">
        <f>IF(ISNUMBER(Datos!R11),Datos!R11," - ")</f>
        <v>1217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136</v>
      </c>
      <c r="BD11" s="228">
        <f>IF(ISNUMBER(Datos!N11),Datos!N11," - ")</f>
        <v>243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1.1641137855579868</v>
      </c>
      <c r="BH11" s="259">
        <f>IF(ISNUMBER(((IF(J_V="SI",Datos!L11/Datos!K11,(Datos!L11+Datos!AB11)/(Datos!K11+Datos!AA11)))*11)/factor_trimestre),((IF(J_V="SI",Datos!L11/Datos!K11,(Datos!L11+Datos!AB11)/(Datos!K11+Datos!AA11)))*11)/factor_trimestre," - ")</f>
        <v>4.2669172932330826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1.079734219269103E-2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10</v>
      </c>
      <c r="F13" s="897">
        <f t="shared" si="0"/>
        <v>118</v>
      </c>
      <c r="G13" s="897">
        <f t="shared" si="0"/>
        <v>118</v>
      </c>
      <c r="H13" s="898">
        <f t="shared" si="0"/>
        <v>0</v>
      </c>
      <c r="I13" s="897">
        <f t="shared" si="0"/>
        <v>0</v>
      </c>
      <c r="J13" s="866">
        <f t="shared" si="0"/>
        <v>0</v>
      </c>
      <c r="K13" s="866">
        <f t="shared" si="0"/>
        <v>0</v>
      </c>
      <c r="L13" s="898">
        <f t="shared" si="0"/>
        <v>0</v>
      </c>
      <c r="M13" s="898">
        <f t="shared" si="0"/>
        <v>0</v>
      </c>
      <c r="N13" s="898">
        <f t="shared" si="0"/>
        <v>286</v>
      </c>
      <c r="O13" s="899">
        <f t="shared" si="0"/>
        <v>0</v>
      </c>
      <c r="P13" s="899">
        <f t="shared" si="0"/>
        <v>0</v>
      </c>
      <c r="Q13" s="898">
        <f t="shared" si="0"/>
        <v>1795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1860</v>
      </c>
      <c r="AD13" s="898">
        <f t="shared" si="1"/>
        <v>0</v>
      </c>
      <c r="AE13" s="898">
        <f t="shared" si="1"/>
        <v>0</v>
      </c>
      <c r="AF13" s="898">
        <f t="shared" si="1"/>
        <v>114</v>
      </c>
      <c r="AG13" s="898">
        <f t="shared" si="1"/>
        <v>0</v>
      </c>
      <c r="AH13" s="898">
        <f t="shared" si="1"/>
        <v>199</v>
      </c>
      <c r="AI13" s="898">
        <f t="shared" si="1"/>
        <v>0</v>
      </c>
      <c r="AJ13" s="898">
        <f t="shared" si="1"/>
        <v>0</v>
      </c>
      <c r="AK13" s="898">
        <f t="shared" si="1"/>
        <v>0</v>
      </c>
      <c r="AL13" s="898">
        <f t="shared" si="1"/>
        <v>0</v>
      </c>
      <c r="AM13" s="898">
        <f t="shared" si="1"/>
        <v>15161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678</v>
      </c>
      <c r="BD13" s="898">
        <f t="shared" si="1"/>
        <v>1252</v>
      </c>
      <c r="BE13" s="898">
        <f t="shared" si="1"/>
        <v>0</v>
      </c>
      <c r="BF13" s="898">
        <f t="shared" si="1"/>
        <v>0</v>
      </c>
      <c r="BG13" s="898">
        <f>IF(ISNUMBER(Datos!K13/Datos!J13),Datos!K13/Datos!J13," - ")</f>
        <v>1.2347235693501455</v>
      </c>
      <c r="BH13" s="902">
        <f>IF(ISNUMBER(((Datos!L13/Datos!K13)*11)/factor_trimestre),((Datos!L13/Datos!K13)*11)/factor_trimestre," - ")</f>
        <v>7.4273369992144547</v>
      </c>
      <c r="BI13" s="898">
        <f>IF(ISNUMBER('Resol  Asuntos'!D13/NºAsuntos!G13),'Resol  Asuntos'!D13/NºAsuntos!G13," - ")</f>
        <v>0.24231593995711223</v>
      </c>
      <c r="BJ13" s="898" t="str">
        <f>IF(ISNUMBER(Datos!CI13/Datos!CJ13),Datos!CI13/Datos!CJ13," - ")</f>
        <v xml:space="preserve"> - </v>
      </c>
      <c r="BK13" s="898">
        <f>SUBTOTAL(9,BK8:BK12)</f>
        <v>0</v>
      </c>
      <c r="BL13" s="898">
        <f>IF(ISNUMBER((I13-AB13+L13)/(F13)),(I13-AB13+L13)/(F13)," - ")</f>
        <v>-0.17796610169491525</v>
      </c>
      <c r="BM13" s="903">
        <f>SUBTOTAL(9,BM9:BM12)</f>
        <v>5.1586521037732241E-3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5122</v>
      </c>
      <c r="G15" s="597">
        <f>IF(ISNUMBER(IF(D_I="SI",Datos!I15,Datos!I15+Datos!AC15)),IF(D_I="SI",Datos!I15,Datos!I15+Datos!AC15)," - ")</f>
        <v>5093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3245</v>
      </c>
      <c r="AC15" s="225">
        <f>IF(ISNUMBER(Datos!Q15),Datos!Q15," - ")</f>
        <v>113</v>
      </c>
      <c r="AD15" s="333"/>
      <c r="AE15" s="483"/>
      <c r="AF15" s="595">
        <f>IF(ISNUMBER(IF(D_I="SI",Datos!L15,Datos!L15+Datos!AF15)),IF(D_I="SI",Datos!L15,Datos!L15+Datos!AF15)," - ")</f>
        <v>5296</v>
      </c>
      <c r="AG15" s="333"/>
      <c r="AH15" s="333"/>
      <c r="AI15" s="333"/>
      <c r="AJ15" s="333"/>
      <c r="AK15" s="333"/>
      <c r="AL15" s="478"/>
      <c r="AM15" s="334">
        <f>IF(ISNUMBER(Datos!R15),Datos!R15," - ")</f>
        <v>424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286</v>
      </c>
      <c r="BD15" s="228">
        <f>IF(ISNUMBER(Datos!N15),Datos!N15," - ")</f>
        <v>1890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0.94910792629423812</v>
      </c>
      <c r="BH15" s="259">
        <f>IF(ISNUMBER(((IF(D_I="SI",Datos!L15/Datos!K15,(Datos!L15+Datos!AF15)/(Datos!K15+Datos!AE15)))*11)/factor_trimestre),((IF(D_I="SI",Datos!L15/Datos!K15,(Datos!L15+Datos!AF15)/(Datos!K15+Datos!AE15)))*11)/factor_trimestre," - ")</f>
        <v>3.2640986132511558</v>
      </c>
      <c r="BI15" s="242">
        <f>IF(ISNUMBER('Resol  Asuntos'!D15/NºAsuntos!G15),'Resol  Asuntos'!D15/NºAsuntos!G15," - ")</f>
        <v>8.8135593220338981E-2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563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195</v>
      </c>
      <c r="AC17" s="225">
        <f>IF(ISNUMBER(Datos!Q17),Datos!Q17," - ")</f>
        <v>0</v>
      </c>
      <c r="AD17" s="333"/>
      <c r="AE17" s="483"/>
      <c r="AF17" s="331">
        <f>IF(ISNUMBER(Datos!L17),Datos!L17,"-")</f>
        <v>596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77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0.85526315789473684</v>
      </c>
      <c r="BH17" s="259">
        <f>IF(ISNUMBER(((IF(D_I="SI",Datos!L17/Datos!K17,(Datos!L17+Datos!AF17)/(Datos!K17+Datos!AE17)))*11)/factor_trimestre),((IF(D_I="SI",Datos!L17/Datos!K17,(Datos!L17+Datos!AF17)/(Datos!K17+Datos!AE17)))*11)/factor_trimestre," - ")</f>
        <v>6.1128205128205115</v>
      </c>
      <c r="BI17" s="242">
        <f>IF(ISNUMBER('Resol  Asuntos'!D17/NºAsuntos!G17),'Resol  Asuntos'!D17/NºAsuntos!G17," - ")</f>
        <v>7.179487179487179E-2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5122</v>
      </c>
      <c r="G18" s="897">
        <f>SUBTOTAL(9,G15:G17)</f>
        <v>5656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3440</v>
      </c>
      <c r="AC18" s="898">
        <f t="shared" si="4"/>
        <v>113</v>
      </c>
      <c r="AD18" s="898">
        <f t="shared" si="4"/>
        <v>0</v>
      </c>
      <c r="AE18" s="898">
        <f t="shared" si="4"/>
        <v>0</v>
      </c>
      <c r="AF18" s="898">
        <f t="shared" si="4"/>
        <v>5892</v>
      </c>
      <c r="AG18" s="898">
        <f t="shared" si="4"/>
        <v>0</v>
      </c>
      <c r="AH18" s="898">
        <f t="shared" si="4"/>
        <v>0</v>
      </c>
      <c r="AI18" s="898">
        <f t="shared" si="4"/>
        <v>0</v>
      </c>
      <c r="AJ18" s="898">
        <f t="shared" si="4"/>
        <v>0</v>
      </c>
      <c r="AK18" s="898">
        <f t="shared" si="4"/>
        <v>0</v>
      </c>
      <c r="AL18" s="898">
        <f t="shared" si="4"/>
        <v>0</v>
      </c>
      <c r="AM18" s="898">
        <f t="shared" si="4"/>
        <v>424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300</v>
      </c>
      <c r="BD18" s="898">
        <f t="shared" si="4"/>
        <v>1967</v>
      </c>
      <c r="BE18" s="898">
        <f t="shared" si="4"/>
        <v>0</v>
      </c>
      <c r="BF18" s="898">
        <f t="shared" si="4"/>
        <v>0</v>
      </c>
      <c r="BG18" s="898">
        <f>IF(ISNUMBER(Datos!K18/Datos!J18),Datos!K18/Datos!J18," - ")</f>
        <v>0.94324102001645183</v>
      </c>
      <c r="BH18" s="902">
        <f>IF(ISNUMBER(((Datos!L18/Datos!K18)*11)/factor_trimestre),((Datos!L18/Datos!K18)*11)/factor_trimestre," - ")</f>
        <v>3.425581395348837</v>
      </c>
      <c r="BI18" s="898">
        <f>SUBTOTAL(9,BI15:BI17)</f>
        <v>0.15993046501521077</v>
      </c>
      <c r="BJ18" s="898">
        <f>SUBTOTAL(9,BJ15:BJ17)</f>
        <v>0</v>
      </c>
      <c r="BK18" s="898">
        <f>SUBTOTAL(9,BK15:BK17)</f>
        <v>0</v>
      </c>
      <c r="BL18" s="898">
        <f>IF(ISNUMBER((I18-AB18+L18)/(F18)),(I18-AB18+L18)/(F18)," - ")</f>
        <v>-0.67161265130808279</v>
      </c>
      <c r="BM18" s="904">
        <f>IF(ISNUMBER((Datos!P18-Datos!Q18)/(Datos!R18-Datos!P18+Datos!Q18)),(Datos!P18-Datos!Q18)/(Datos!R18-Datos!P18+Datos!Q18)," - ")</f>
        <v>-5.9866962305986697E-2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5240</v>
      </c>
      <c r="G19" s="819">
        <f t="shared" si="6"/>
        <v>5774</v>
      </c>
      <c r="H19" s="821">
        <f t="shared" si="6"/>
        <v>0</v>
      </c>
      <c r="I19" s="819">
        <f t="shared" si="6"/>
        <v>0</v>
      </c>
      <c r="J19" s="821">
        <f t="shared" si="6"/>
        <v>0</v>
      </c>
      <c r="K19" s="821">
        <f t="shared" si="6"/>
        <v>0</v>
      </c>
      <c r="L19" s="880">
        <f t="shared" si="6"/>
        <v>0</v>
      </c>
      <c r="M19" s="880">
        <f t="shared" si="6"/>
        <v>0</v>
      </c>
      <c r="N19" s="880">
        <f t="shared" si="6"/>
        <v>286</v>
      </c>
      <c r="O19" s="880">
        <f t="shared" si="6"/>
        <v>0</v>
      </c>
      <c r="P19" s="880">
        <f t="shared" si="6"/>
        <v>0</v>
      </c>
      <c r="Q19" s="821">
        <f t="shared" si="6"/>
        <v>1881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3461</v>
      </c>
      <c r="AC19" s="820">
        <f t="shared" si="7"/>
        <v>1973</v>
      </c>
      <c r="AD19" s="820">
        <f t="shared" si="7"/>
        <v>0</v>
      </c>
      <c r="AE19" s="820">
        <f t="shared" si="7"/>
        <v>0</v>
      </c>
      <c r="AF19" s="827">
        <f t="shared" si="7"/>
        <v>6006</v>
      </c>
      <c r="AG19" s="827">
        <f t="shared" si="7"/>
        <v>0</v>
      </c>
      <c r="AH19" s="827">
        <f t="shared" si="7"/>
        <v>199</v>
      </c>
      <c r="AI19" s="827">
        <f t="shared" si="7"/>
        <v>0</v>
      </c>
      <c r="AJ19" s="820">
        <f t="shared" si="7"/>
        <v>0</v>
      </c>
      <c r="AK19" s="827">
        <f t="shared" si="7"/>
        <v>0</v>
      </c>
      <c r="AL19" s="827">
        <f t="shared" si="7"/>
        <v>0</v>
      </c>
      <c r="AM19" s="827">
        <f t="shared" si="7"/>
        <v>15585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978</v>
      </c>
      <c r="BD19" s="819">
        <f t="shared" si="7"/>
        <v>3219</v>
      </c>
      <c r="BE19" s="819">
        <f t="shared" si="7"/>
        <v>0</v>
      </c>
      <c r="BF19" s="829">
        <f t="shared" si="7"/>
        <v>0</v>
      </c>
      <c r="BG19" s="914">
        <f>IF(ISNUMBER(Datos!K19/Datos!J19),Datos!K19/Datos!J19," - ")</f>
        <v>1.0485198808898231</v>
      </c>
      <c r="BH19" s="914">
        <f>IF(ISNUMBER(((Datos!L19/Datos!K19)*11)/factor_trimestre),((Datos!L19/Datos!K19)*11)/factor_trimestre," - ")</f>
        <v>5.127631139325092</v>
      </c>
      <c r="BI19" s="812">
        <f>IF(ISNUMBER(Datos!J19/Datos!I19),Datos!J19/Datos!I19," - ")</f>
        <v>0.36381595717563092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-0.66049618320610692</v>
      </c>
      <c r="BM19" s="888">
        <f>IF(ISNUMBER((Datos!P19-Datos!Q19+R19)/(Datos!R19-Datos!P19+Datos!Q19-R19)),(Datos!P19-Datos!Q19+R19)/(Datos!R19-Datos!P19+Datos!Q19-R19)," - ")</f>
        <v>-5.8684697327294763E-3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2309.6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3.5746017649212027</v>
      </c>
      <c r="F21" s="550">
        <f>IF(ISNUMBER(STDEV(F8:F18)),STDEV(F8:F18),"-")</f>
        <v>2889.0607470248874</v>
      </c>
      <c r="G21" s="551">
        <f>IF(ISNUMBER(STDEV(G8:G18)),STDEV(G8:G18),"-")</f>
        <v>2810.8068770372679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1790.2314934108381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255.25859903429773</v>
      </c>
      <c r="BD21" s="550"/>
      <c r="BE21" s="550">
        <f>IF(ISNUMBER(STDEV(BE8:BE18)),STDEV(BE8:BE18),"-")</f>
        <v>0</v>
      </c>
      <c r="BF21" s="555">
        <f>IF(ISNUMBER(STDEV(BF8:BF18)),STDEV(BF8:BF18),"-")</f>
        <v>0</v>
      </c>
      <c r="BG21" s="774">
        <f>IF(ISNUMBER(STDEV(BG8:BG18)),STDEV(BG8:BG18),"-")</f>
        <v>0.16090115921868509</v>
      </c>
      <c r="BH21" s="775">
        <f>IF(ISNUMBER(STDEV(BH8:BH18)),STDEV(BH8:BH18),"-")</f>
        <v>2.7346671060992467</v>
      </c>
      <c r="BI21" s="248">
        <f>IF(ISNUMBER(STDEV(BI8:BI18)),STDEV(BI8:BI18),"-")</f>
        <v>7.7902602691605441E-2</v>
      </c>
      <c r="BJ21" s="229" t="str">
        <f>IF(ISNUMBER(BL21/BM21),BL21/BM21," - ")</f>
        <v xml:space="preserve"> - </v>
      </c>
      <c r="BK21" s="574"/>
      <c r="BL21" s="558">
        <f>IF(ISNUMBER(STDEV(BL8:BL18)),STDEV(BL8:BL18),"-")</f>
        <v>0.34906082274081224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py37r47H3bV4WxCK6KmmuAqVq/GE0iupzqbE9Z0bGlQNPB3UGqOLJiYVyw1dSkmWkQ6WEAZVVCPntd/fRmvbg==" saltValue="Zoa2b/c4T+rFHsBLV18U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MATARO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1704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1782</v>
      </c>
      <c r="AA9" s="331" t="str">
        <f>IF(ISNUMBER(IF(J_V="SI",Datos!L9,Datos!L9+Datos!AB9)-IF(Monitorios="SI",Datos!CD9,0)),
                          IF(J_V="SI",Datos!L9,Datos!L9+Datos!AB9)-IF(Monitorios="SI",Datos!CD9,0),
                          " - ")</f>
        <v xml:space="preserve"> - </v>
      </c>
      <c r="AB9" s="333"/>
      <c r="AC9" s="333"/>
      <c r="AD9" s="483"/>
      <c r="AE9" s="483">
        <f>IF(ISNUMBER(Datos!R9),Datos!R9," - ")</f>
        <v>13755</v>
      </c>
      <c r="AF9" s="228" t="str">
        <f>IF(ISNUMBER(Datos!BV9),Datos!BV9," - ")</f>
        <v xml:space="preserve"> - </v>
      </c>
      <c r="AG9" s="224" t="str">
        <f>IF(ISNUMBER(Datos!DV9),Datos!DV9," - ")</f>
        <v xml:space="preserve"> - </v>
      </c>
      <c r="AH9" s="297"/>
      <c r="AI9" s="226"/>
      <c r="AJ9" s="224">
        <f>IF(ISNUMBER(Datos!M9),Datos!M9," - ")</f>
        <v>536</v>
      </c>
      <c r="AK9" s="228">
        <f>IF(ISNUMBER(Datos!N9),Datos!N9," - ")</f>
        <v>999</v>
      </c>
      <c r="AL9" s="228" t="str">
        <f>IF(ISNUMBER(Datos!BW9),Datos!BW9," - ")</f>
        <v xml:space="preserve"> - </v>
      </c>
      <c r="AM9" s="227" t="str">
        <f>IF(ISNUMBER(Datos!BX9),Datos!BX9," - ")</f>
        <v xml:space="preserve"> - </v>
      </c>
      <c r="AN9" s="242"/>
      <c r="AO9" s="259">
        <f>IF(ISNUMBER(((NºAsuntos!I9/NºAsuntos!G9)*11)/factor_trimestre),((NºAsuntos!I9/NºAsuntos!G9)*11)/factor_trimestre," - ")</f>
        <v>7.4877505567928742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-5.6386900889178054E-3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4</v>
      </c>
      <c r="AA10" s="331">
        <f>IF(ISNUMBER(Datos!L10),Datos!L10,"-")</f>
        <v>114</v>
      </c>
      <c r="AB10" s="333"/>
      <c r="AC10" s="333"/>
      <c r="AD10" s="483"/>
      <c r="AE10" s="483">
        <f>IF(ISNUMBER(Datos!R10),Datos!R10," - ")</f>
        <v>189</v>
      </c>
      <c r="AF10" s="228" t="str">
        <f>IF(ISNUMBER(Datos!BV10),Datos!BV10," - ")</f>
        <v xml:space="preserve"> - </v>
      </c>
      <c r="AG10" s="224" t="str">
        <f>IF(ISNUMBER(Datos!DV10),Datos!DV10," - ")</f>
        <v xml:space="preserve"> - </v>
      </c>
      <c r="AH10" s="297"/>
      <c r="AI10" s="226"/>
      <c r="AJ10" s="224">
        <f>IF(ISNUMBER(Datos!M10),Datos!M10," - ")</f>
        <v>6</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10.857142857142858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74</v>
      </c>
      <c r="AA11" s="331" t="str">
        <f>IF(ISNUMBER(IF(J_V="SI",Datos!L11,Datos!L11+Datos!AB11)-IF(Monitorios="SI",Datos!CD11,0)),
                          IF(J_V="SI",Datos!L11,Datos!L11+Datos!AB11)-IF(Monitorios="SI",Datos!CD11,0),
                          " - ")</f>
        <v xml:space="preserve"> - </v>
      </c>
      <c r="AB11" s="333"/>
      <c r="AC11" s="333"/>
      <c r="AD11" s="483"/>
      <c r="AE11" s="483">
        <f>IF(ISNUMBER(Datos!R11),Datos!R11," - ")</f>
        <v>1217</v>
      </c>
      <c r="AF11" s="228" t="str">
        <f>IF(ISNUMBER(Datos!BV11),Datos!BV11," - ")</f>
        <v xml:space="preserve"> - </v>
      </c>
      <c r="AG11" s="224" t="str">
        <f>IF(ISNUMBER(Datos!DV11),Datos!DV11," - ")</f>
        <v xml:space="preserve"> - </v>
      </c>
      <c r="AH11" s="297"/>
      <c r="AI11" s="226"/>
      <c r="AJ11" s="224">
        <f>IF(ISNUMBER(Datos!M11),Datos!M11," - ")</f>
        <v>136</v>
      </c>
      <c r="AK11" s="228">
        <f>IF(ISNUMBER(Datos!N11),Datos!N11," - ")</f>
        <v>243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4.2669172932330826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1.079734219269103E-2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10</v>
      </c>
      <c r="F13" s="897">
        <f>SUBTOTAL(9,F8:F12)</f>
        <v>118</v>
      </c>
      <c r="G13" s="897">
        <f>SUBTOTAL(9,G8:G12)</f>
        <v>118</v>
      </c>
      <c r="H13" s="907"/>
      <c r="I13" s="897">
        <f t="shared" ref="I13:N13" si="0">SUBTOTAL(9,I8:I12)</f>
        <v>0</v>
      </c>
      <c r="J13" s="866">
        <f t="shared" si="0"/>
        <v>0</v>
      </c>
      <c r="K13" s="907">
        <f t="shared" si="0"/>
        <v>0</v>
      </c>
      <c r="L13" s="907">
        <f t="shared" si="0"/>
        <v>0</v>
      </c>
      <c r="M13" s="907">
        <f t="shared" si="0"/>
        <v>0</v>
      </c>
      <c r="N13" s="907">
        <f t="shared" si="0"/>
        <v>1795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1860</v>
      </c>
      <c r="AA13" s="899">
        <f t="shared" si="2"/>
        <v>114</v>
      </c>
      <c r="AB13" s="899">
        <f t="shared" si="2"/>
        <v>0</v>
      </c>
      <c r="AC13" s="899">
        <f t="shared" si="2"/>
        <v>0</v>
      </c>
      <c r="AD13" s="899">
        <f t="shared" si="2"/>
        <v>0</v>
      </c>
      <c r="AE13" s="899">
        <f t="shared" si="2"/>
        <v>15161</v>
      </c>
      <c r="AF13" s="907">
        <f t="shared" si="2"/>
        <v>0</v>
      </c>
      <c r="AG13" s="907">
        <f t="shared" si="2"/>
        <v>0</v>
      </c>
      <c r="AH13" s="907">
        <f t="shared" si="2"/>
        <v>0</v>
      </c>
      <c r="AI13" s="907">
        <f t="shared" si="2"/>
        <v>0</v>
      </c>
      <c r="AJ13" s="907">
        <f t="shared" si="2"/>
        <v>678</v>
      </c>
      <c r="AK13" s="907">
        <f t="shared" si="2"/>
        <v>1252</v>
      </c>
      <c r="AL13" s="907">
        <f t="shared" si="2"/>
        <v>0</v>
      </c>
      <c r="AM13" s="907">
        <f t="shared" si="2"/>
        <v>0</v>
      </c>
      <c r="AN13" s="907">
        <f t="shared" si="2"/>
        <v>0</v>
      </c>
      <c r="AO13" s="903">
        <f>IF(ISNUMBER(((NºAsuntos!I13/NºAsuntos!G13)*11)/factor_trimestre),((NºAsuntos!I13/NºAsuntos!G13)*11)/factor_trimestre," - ")</f>
        <v>6.9006433166547536</v>
      </c>
      <c r="AP13" s="909" t="str">
        <f>IF(ISNUMBER(Datos!CI13/Datos!CJ13),Datos!CI13/Datos!CJ13," - ")</f>
        <v xml:space="preserve"> - </v>
      </c>
      <c r="AQ13" s="927">
        <f t="shared" ref="AQ13:AV13" si="3">SUBTOTAL(9,AQ9:AQ12)</f>
        <v>0</v>
      </c>
      <c r="AR13" s="927">
        <f t="shared" si="3"/>
        <v>5.1586521037732241E-3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5122</v>
      </c>
      <c r="G15" s="224">
        <f>IF(ISNUMBER(IF(D_I="SI",Datos!I15,Datos!I15+Datos!AC15)),IF(D_I="SI",Datos!I15,Datos!I15+Datos!AC15)," - ")</f>
        <v>5093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3245</v>
      </c>
      <c r="Z15" s="618">
        <f>IF(ISNUMBER(Datos!Q15),Datos!Q15," - ")</f>
        <v>113</v>
      </c>
      <c r="AA15" s="331">
        <f>IF(ISNUMBER(IF(D_I="SI",Datos!L15,Datos!L15+Datos!AF15)),IF(D_I="SI",Datos!L15,Datos!L15+Datos!AF15)," - ")</f>
        <v>5296</v>
      </c>
      <c r="AB15" s="333"/>
      <c r="AC15" s="333"/>
      <c r="AD15" s="483"/>
      <c r="AE15" s="483">
        <f>IF(ISNUMBER(Datos!R15),Datos!R15," - ")</f>
        <v>424</v>
      </c>
      <c r="AF15" s="228" t="str">
        <f>IF(ISNUMBER(Datos!BV15),Datos!BV15," - ")</f>
        <v xml:space="preserve"> - </v>
      </c>
      <c r="AG15" s="224"/>
      <c r="AH15" s="297"/>
      <c r="AI15" s="226"/>
      <c r="AJ15" s="224">
        <f>IF(ISNUMBER(Datos!M15),Datos!M15," - ")</f>
        <v>286</v>
      </c>
      <c r="AK15" s="228">
        <f>IF(ISNUMBER(Datos!N15),Datos!N15," - ")</f>
        <v>1890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3.2640986132511558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563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195</v>
      </c>
      <c r="Z17" s="618">
        <f>IF(ISNUMBER(Datos!Q17),Datos!Q17," - ")</f>
        <v>0</v>
      </c>
      <c r="AA17" s="331">
        <f>IF(ISNUMBER(Datos!L17),Datos!L17,"-")</f>
        <v>596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6.1128205128205115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5122</v>
      </c>
      <c r="G18" s="897">
        <f>SUBTOTAL(9,G15:G17)</f>
        <v>5656</v>
      </c>
      <c r="H18" s="931">
        <f>SUBTOTAL(9,H15:H17)</f>
        <v>0</v>
      </c>
      <c r="I18" s="910">
        <f>SUBTOTAL(9,I15:I17)</f>
        <v>0</v>
      </c>
      <c r="J18" s="866">
        <f>SUBTOTAL(9,J14:J17)</f>
        <v>0</v>
      </c>
      <c r="K18" s="931">
        <f t="shared" ref="K18:S18" si="4">SUBTOTAL(9,K15:K17)</f>
        <v>0</v>
      </c>
      <c r="L18" s="931">
        <f t="shared" si="4"/>
        <v>0</v>
      </c>
      <c r="M18" s="931">
        <f t="shared" si="4"/>
        <v>0</v>
      </c>
      <c r="N18" s="931">
        <f t="shared" si="4"/>
        <v>86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3440</v>
      </c>
      <c r="Z18" s="931">
        <f t="shared" si="5"/>
        <v>113</v>
      </c>
      <c r="AA18" s="931">
        <f t="shared" si="5"/>
        <v>5892</v>
      </c>
      <c r="AB18" s="931">
        <f t="shared" si="5"/>
        <v>0</v>
      </c>
      <c r="AC18" s="931">
        <f t="shared" si="5"/>
        <v>0</v>
      </c>
      <c r="AD18" s="931">
        <f t="shared" si="5"/>
        <v>0</v>
      </c>
      <c r="AE18" s="931">
        <f t="shared" si="5"/>
        <v>424</v>
      </c>
      <c r="AF18" s="931">
        <f t="shared" si="5"/>
        <v>0</v>
      </c>
      <c r="AG18" s="931">
        <f t="shared" si="5"/>
        <v>0</v>
      </c>
      <c r="AH18" s="931">
        <f t="shared" si="5"/>
        <v>0</v>
      </c>
      <c r="AI18" s="931">
        <f t="shared" si="5"/>
        <v>0</v>
      </c>
      <c r="AJ18" s="931">
        <f t="shared" si="5"/>
        <v>300</v>
      </c>
      <c r="AK18" s="931">
        <f t="shared" si="5"/>
        <v>1967</v>
      </c>
      <c r="AL18" s="931">
        <f t="shared" si="5"/>
        <v>0</v>
      </c>
      <c r="AM18" s="931">
        <f t="shared" si="5"/>
        <v>0</v>
      </c>
      <c r="AN18" s="931">
        <f t="shared" si="5"/>
        <v>0</v>
      </c>
      <c r="AO18" s="933">
        <f>IF(ISNUMBER(((NºAsuntos!I18/NºAsuntos!G18)*11)/factor_trimestre),((NºAsuntos!I18/NºAsuntos!G18)*11)/factor_trimestre," - ")</f>
        <v>3.425581395348837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5240</v>
      </c>
      <c r="G19" s="819">
        <f t="shared" si="7"/>
        <v>5774</v>
      </c>
      <c r="H19" s="820">
        <f t="shared" si="7"/>
        <v>0</v>
      </c>
      <c r="I19" s="819">
        <f t="shared" si="7"/>
        <v>0</v>
      </c>
      <c r="J19" s="821">
        <f t="shared" si="7"/>
        <v>0</v>
      </c>
      <c r="K19" s="819">
        <f t="shared" si="7"/>
        <v>0</v>
      </c>
      <c r="L19" s="822">
        <f t="shared" si="7"/>
        <v>0</v>
      </c>
      <c r="M19" s="819">
        <f t="shared" si="7"/>
        <v>0</v>
      </c>
      <c r="N19" s="820">
        <f t="shared" si="7"/>
        <v>1881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3461</v>
      </c>
      <c r="Z19" s="826">
        <f t="shared" si="8"/>
        <v>1973</v>
      </c>
      <c r="AA19" s="827">
        <f t="shared" si="8"/>
        <v>6006</v>
      </c>
      <c r="AB19" s="827">
        <f t="shared" si="8"/>
        <v>0</v>
      </c>
      <c r="AC19" s="827">
        <f t="shared" si="8"/>
        <v>0</v>
      </c>
      <c r="AD19" s="828">
        <f t="shared" si="8"/>
        <v>0</v>
      </c>
      <c r="AE19" s="828">
        <f t="shared" si="8"/>
        <v>15585</v>
      </c>
      <c r="AF19" s="829">
        <f t="shared" si="8"/>
        <v>0</v>
      </c>
      <c r="AG19" s="830">
        <f t="shared" si="8"/>
        <v>0</v>
      </c>
      <c r="AH19" s="831">
        <f t="shared" si="8"/>
        <v>0</v>
      </c>
      <c r="AI19" s="829">
        <f t="shared" si="8"/>
        <v>0</v>
      </c>
      <c r="AJ19" s="819">
        <f t="shared" si="8"/>
        <v>978</v>
      </c>
      <c r="AK19" s="819">
        <f t="shared" si="8"/>
        <v>3219</v>
      </c>
      <c r="AL19" s="819">
        <f t="shared" si="8"/>
        <v>0</v>
      </c>
      <c r="AM19" s="832">
        <f t="shared" si="8"/>
        <v>0</v>
      </c>
      <c r="AN19" s="822">
        <f>IF(ISNUMBER(Datos!K19/Datos!J19),Datos!K19/Datos!J19," - ")</f>
        <v>1.0485198808898231</v>
      </c>
      <c r="AO19" s="822">
        <f>IF(ISNUMBER(FIND("06",Criterios!A8,1)),(IF(ISNUMBER(((Datos!R19/Datos!Q19)*11)/factor_trimestre),((Datos!R19/Datos!Q19)*11)/factor_trimestre," - ")),(IF(ISNUMBER(((Datos!L19/Datos!K19)*11)/factor_trimestre),((Datos!L19/Datos!K19)*11)/factor_trimestre," - ")))</f>
        <v>5.127631139325092</v>
      </c>
      <c r="AP19" s="833" t="str">
        <f>IF(ISNUMBER(Datos!CI19/Datos!CJ19),Datos!CI19/Datos!CJ19," - ")</f>
        <v xml:space="preserve"> - </v>
      </c>
      <c r="AQ19" s="833">
        <f>IF(OR(ISNUMBER(FIND("01",Criterios!A8,1)),ISNUMBER(FIND("02",Criterios!A8,1)),ISNUMBER(FIND("03",Criterios!A8,1)),ISNUMBER(FIND("04",Criterios!A8,1))),(J19-Y19+K19)/(F19-K19),(I19-Y19+K19)/(F19-K19))</f>
        <v>-0.66049618320610692</v>
      </c>
      <c r="AR19" s="833">
        <f>IF(ISNUMBER((Datos!P19-Datos!Q19+O19)/(Datos!R19-Datos!P19+Datos!Q19-O19)),(Datos!P19-Datos!Q19+O19)/(Datos!R19-Datos!P19+Datos!Q19-O19)," - ")</f>
        <v>-5.8684697327294763E-3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2309.6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2889.0607470248874</v>
      </c>
      <c r="G21" s="551">
        <f>IF(ISNUMBER(STDEV(G8:G18)),STDEV(G8:G18),"-")</f>
        <v>2810.8068770372679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255.25859903429773</v>
      </c>
      <c r="AK21" s="251"/>
      <c r="AL21" s="251">
        <f>IF(ISNUMBER(STDEV(AL8:AL18)),STDEV(AL8:AL18),"-")</f>
        <v>0</v>
      </c>
      <c r="AM21" s="253">
        <f>IF(ISNUMBER(STDEV(AM8:AM18)),STDEV(AM8:AM18),"-")</f>
        <v>0</v>
      </c>
      <c r="AN21" s="538">
        <f>IF(ISNUMBER(STDEV(AN8:AN18)),STDEV(AN8:AN18),"-")</f>
        <v>0</v>
      </c>
      <c r="AO21" s="539">
        <f>IF(ISNUMBER(STDEV(AO8:AO18)),STDEV(AO8:AO18),"-")</f>
        <v>2.6997320118546031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pKjxntjohEm6yLWpCr0P8PSdfuQFvk0FKKjsHBU0SXsJkYviWmAhD/boG8XjZe1beQmH0pA+hiv+uXFSkaNNA==" saltValue="zQTGRxJhRXvUNm4zGNjF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FzUORVfJk0FUIk9mNIurkqjNci+S1Qf9UU4UoyMXRD5qW9xVNF5mJgOSJk4iD/1LYbOJZUMoEPIme9T8q9WOQ==" saltValue="a2YryvofvoVWXX7LDe8s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kyXiuEZNCAhGQS/CUiBdUVssoU+Qmq06WT5PzYnsezRNa2lDAOgslfcePDKfHbkoPc01NzD3A9GHi54j0LztQ==" saltValue="wNcGNtuQVhXDuiWOLoQE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0.24231593995711223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0.17134324433326634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6ghH0lqYTpmSp8hoDRocdJfQGIvg7t6f8qCefnPcy/fv4EeyxDno8pdfvrvLAb7a8lCjF6UiPxgvKuykIZtF8Q==" saltValue="9A5k+B7C62CkCqYLDL2q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nBgQY6rwYnaVbhEgqZergNT7AnJEjYsvo+ercyZg/LiuT/tZzEECGlE3Z0m897W83FdvBbZavjyOxYggw76zg==" saltValue="VuEWZ2ImGXT6Lr3ZyOVY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MATARO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8872</v>
      </c>
      <c r="D9" s="403">
        <f>IF(ISNUMBER(C9/Datos!BH9),C9/Datos!BH9," - ")</f>
        <v>1267.4285714285713</v>
      </c>
      <c r="E9" s="402">
        <f>IF(ISNUMBER(IF(J_V="SI",Datos!J9,Datos!J9+Datos!Z9)),IF(J_V="SI",Datos!J9,Datos!J9+Datos!Z9)," - ")</f>
        <v>1874</v>
      </c>
      <c r="F9" s="403">
        <f>IF(ISNUMBER(E9/B9),E9/B9," - ")</f>
        <v>267.71428571428572</v>
      </c>
      <c r="G9" s="402">
        <f>IF(ISNUMBER(IF(J_V="SI",Datos!K9,Datos!K9+Datos!AA9)),IF(J_V="SI",Datos!K9,Datos!K9+Datos!AA9)," - ")</f>
        <v>2245</v>
      </c>
      <c r="H9" s="403">
        <f>IF(ISNUMBER(G9/B9),G9/B9," - ")</f>
        <v>320.71428571428572</v>
      </c>
      <c r="I9" s="402">
        <f>IF(ISNUMBER(IF(J_V="SI",Datos!L9,Datos!L9+Datos!AB9)),IF(J_V="SI",Datos!L9,Datos!L9+Datos!AB9)," - ")</f>
        <v>8405</v>
      </c>
      <c r="J9" s="403">
        <f>IF(ISNUMBER(I9/B9),I9/B9," - ")</f>
        <v>1200.7142857142858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118</v>
      </c>
      <c r="D10" s="403">
        <f>IF(ISNUMBER(C10/Datos!BH10),C10/Datos!BH10," - ")</f>
        <v>59</v>
      </c>
      <c r="E10" s="402">
        <f>IF(ISNUMBER(Datos!J10),Datos!J10," - ")</f>
        <v>17</v>
      </c>
      <c r="F10" s="403">
        <f>IF(ISNUMBER(E10/B10),E10/B10," - ")</f>
        <v>8.5</v>
      </c>
      <c r="G10" s="402">
        <f>IF(ISNUMBER(Datos!K10),Datos!K10," - ")</f>
        <v>21</v>
      </c>
      <c r="H10" s="403">
        <f>IF(ISNUMBER(G10/B10),G10/B10," - ")</f>
        <v>10.5</v>
      </c>
      <c r="I10" s="402">
        <f>IF(ISNUMBER(Datos!L10),Datos!L10," - ")</f>
        <v>114</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1211</v>
      </c>
      <c r="D11" s="403">
        <f>IF(ISNUMBER(C11/Datos!BH11),C11/Datos!BH11," - ")</f>
        <v>605.5</v>
      </c>
      <c r="E11" s="402">
        <f>IF(ISNUMBER(IF(J_V="SI",Datos!J11,Datos!J11+Datos!Z11)),IF(J_V="SI",Datos!J11,Datos!J11+Datos!Z11)," - ")</f>
        <v>457</v>
      </c>
      <c r="F11" s="403">
        <f>IF(ISNUMBER(E11/B11),E11/B11," - ")</f>
        <v>228.5</v>
      </c>
      <c r="G11" s="402">
        <f>IF(ISNUMBER(IF(J_V="SI",Datos!K11,Datos!K11+Datos!AA11)),IF(J_V="SI",Datos!K11,Datos!K11+Datos!AA11)," - ")</f>
        <v>532</v>
      </c>
      <c r="H11" s="403">
        <f>IF(ISNUMBER(G11/B11),G11/B11," - ")</f>
        <v>266</v>
      </c>
      <c r="I11" s="402">
        <f>IF(ISNUMBER(IF(J_V="SI",Datos!L11,Datos!L11+Datos!AB11)),IF(J_V="SI",Datos!L11,Datos!L11+Datos!AB11)," - ")</f>
        <v>1135</v>
      </c>
      <c r="J11" s="403">
        <f>IF(ISNUMBER(I11/B11),I11/B11," - ")</f>
        <v>567.5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10201</v>
      </c>
      <c r="D13" s="849" t="str">
        <f>IF(ISNUMBER(C13/Datos!BI13),C13/Datos!BI13," - ")</f>
        <v xml:space="preserve"> - </v>
      </c>
      <c r="E13" s="848">
        <f>SUBTOTAL(9,E8:E12)</f>
        <v>2348</v>
      </c>
      <c r="F13" s="849">
        <f>IF(ISNUMBER(E13/B13),E13/B13," - ")</f>
        <v>234.8</v>
      </c>
      <c r="G13" s="848">
        <f>SUBTOTAL(9,G8:G12)</f>
        <v>2798</v>
      </c>
      <c r="H13" s="849">
        <f>IF(ISNUMBER(G13/B13),G13/B13," - ")</f>
        <v>279.8</v>
      </c>
      <c r="I13" s="848">
        <f>SUBTOTAL(9,I8:I12)</f>
        <v>9654</v>
      </c>
      <c r="J13" s="849">
        <f>IF(ISNUMBER(I13/B13),I13/B13," - ")</f>
        <v>965.4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5093</v>
      </c>
      <c r="D15" s="403">
        <f>IF(ISNUMBER(C15/Datos!BH15),C15/Datos!BH15," - ")</f>
        <v>1018.6</v>
      </c>
      <c r="E15" s="402">
        <f>IF(ISNUMBER(IF(D_I="SI",Datos!J15,Datos!J15+Datos!AD15)),IF(D_I="SI",Datos!J15,Datos!J15+Datos!AD15)," - ")</f>
        <v>3419</v>
      </c>
      <c r="F15" s="403">
        <f>IF(ISNUMBER(E15/B15),E15/B15," - ")</f>
        <v>683.8</v>
      </c>
      <c r="G15" s="402">
        <f>IF(ISNUMBER(IF(D_I="SI",Datos!K15,Datos!K15+Datos!AE15)),IF(D_I="SI",Datos!K15,Datos!K15+Datos!AE15)," - ")</f>
        <v>3245</v>
      </c>
      <c r="H15" s="403">
        <f>IF(ISNUMBER(G15/B15),G15/B15," - ")</f>
        <v>649</v>
      </c>
      <c r="I15" s="402">
        <f>IF(ISNUMBER(IF(D_I="SI",Datos!L15,Datos!L15+Datos!AF15)),IF(D_I="SI",Datos!L15,Datos!L15+Datos!AF15)," - ")</f>
        <v>5296</v>
      </c>
      <c r="J15" s="403">
        <f>IF(ISNUMBER(I15/B15),I15/B15," - ")</f>
        <v>1059.2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563</v>
      </c>
      <c r="D17" s="403">
        <f>IF(ISNUMBER(C17/Datos!BH17),C17/Datos!BH17," - ")</f>
        <v>281.5</v>
      </c>
      <c r="E17" s="402">
        <f>IF(ISNUMBER(IF(D_I="SI",Datos!J17,Datos!J17+Datos!AD17)),IF(D_I="SI",Datos!J17,Datos!J17+Datos!AD17)," - ")</f>
        <v>228</v>
      </c>
      <c r="F17" s="403">
        <f>IF(ISNUMBER(E17/B17),E17/B17," - ")</f>
        <v>114</v>
      </c>
      <c r="G17" s="402">
        <f>IF(ISNUMBER(IF(D_I="SI",Datos!K17,Datos!K17+Datos!AE17)),IF(D_I="SI",Datos!K17,Datos!K17+Datos!AE17)," - ")</f>
        <v>195</v>
      </c>
      <c r="H17" s="403">
        <f>IF(ISNUMBER(G17/B17),G17/B17," - ")</f>
        <v>97.5</v>
      </c>
      <c r="I17" s="402">
        <f>IF(ISNUMBER(IF(D_I="SI",Datos!L17,Datos!L17+Datos!AF17)),IF(D_I="SI",Datos!L17,Datos!L17+Datos!AF17)," - ")</f>
        <v>596</v>
      </c>
      <c r="J17" s="403">
        <f>IF(ISNUMBER(I17/B17),I17/B17," - ")</f>
        <v>298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5656</v>
      </c>
      <c r="D18" s="849" t="str">
        <f>IF(ISNUMBER(C18/Datos!BI18),C18/Datos!BI18," - ")</f>
        <v xml:space="preserve"> - </v>
      </c>
      <c r="E18" s="848">
        <f>SUBTOTAL(9,E14:E17)</f>
        <v>3647</v>
      </c>
      <c r="F18" s="849">
        <f>IF(ISNUMBER(E18/B18),E18/B18," - ")</f>
        <v>607.83333333333337</v>
      </c>
      <c r="G18" s="848">
        <f>SUBTOTAL(9,G14:G17)</f>
        <v>3440</v>
      </c>
      <c r="H18" s="849">
        <f>IF(ISNUMBER(G18/B18),G18/B18," - ")</f>
        <v>573.33333333333337</v>
      </c>
      <c r="I18" s="848">
        <f>SUBTOTAL(9,I14:I17)</f>
        <v>5892</v>
      </c>
      <c r="J18" s="849">
        <f>IF(ISNUMBER(I18/B18),I18/B18," - ")</f>
        <v>982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15857</v>
      </c>
      <c r="D19" s="794" t="str">
        <f>IF(ISNUMBER(C19/Datos!BI19),C19/Datos!BI19," - ")</f>
        <v xml:space="preserve"> - </v>
      </c>
      <c r="E19" s="793">
        <f>SUBTOTAL(9,E9:E18)</f>
        <v>5995</v>
      </c>
      <c r="F19" s="794">
        <f>IF(ISNUMBER(E19/B19),E19/B19," - ")</f>
        <v>399.66666666666669</v>
      </c>
      <c r="G19" s="793">
        <f>SUBTOTAL(9,G9:G18)</f>
        <v>6238</v>
      </c>
      <c r="H19" s="794">
        <f>IF(ISNUMBER(G19/B19),G19/B19," - ")</f>
        <v>415.86666666666667</v>
      </c>
      <c r="I19" s="793">
        <f>SUBTOTAL(9,I9:I18)</f>
        <v>15546</v>
      </c>
      <c r="J19" s="794">
        <f>IF(ISNUMBER(I19/B19),I19/B19," - ")</f>
        <v>1036.4000000000001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H/DRyR2Y/p1IAWR7eJLpI1FSqpzRJRet324xnuJwhpEg/oHC6X74Ralj8GYUYLXB+fHoPdL/tkiT1U6o7X18Q==" saltValue="JCMdWHirBkOEJngf10Rr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MATARO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118</v>
      </c>
      <c r="G10" s="683">
        <f>IF(ISNUMBER(Datos!I10),Datos!I10," - ")</f>
        <v>118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114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10.857142857142858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118</v>
      </c>
      <c r="G13" s="937">
        <f t="shared" si="0"/>
        <v>118</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0</v>
      </c>
      <c r="AE13" s="938">
        <f t="shared" si="1"/>
        <v>0</v>
      </c>
      <c r="AF13" s="938">
        <f t="shared" si="1"/>
        <v>114</v>
      </c>
      <c r="AG13" s="938">
        <f t="shared" si="1"/>
        <v>0</v>
      </c>
      <c r="AH13" s="938">
        <f t="shared" si="1"/>
        <v>0</v>
      </c>
      <c r="AI13" s="938">
        <f t="shared" si="1"/>
        <v>0</v>
      </c>
      <c r="AJ13" s="938">
        <f t="shared" si="1"/>
        <v>0</v>
      </c>
      <c r="AK13" s="938">
        <f t="shared" si="1"/>
        <v>0</v>
      </c>
      <c r="AL13" s="938">
        <f t="shared" si="1"/>
        <v>6</v>
      </c>
      <c r="AM13" s="938">
        <f t="shared" si="1"/>
        <v>10</v>
      </c>
      <c r="AN13" s="938">
        <f t="shared" si="1"/>
        <v>0</v>
      </c>
      <c r="AO13" s="938">
        <f t="shared" si="1"/>
        <v>0</v>
      </c>
      <c r="AP13" s="943">
        <f>IF(ISNUMBER(((Datos!L13/Datos!K13)*11)/factor_trimestre),((Datos!L13/Datos!K13)*11)/factor_trimestre," - ")</f>
        <v>7.4273369992144547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-0.17796610169491525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3.425581395348837</v>
      </c>
      <c r="AQ18" s="943">
        <f>IF(ISNUMBER(((Datos!M18/Datos!L18)*11)/factor_trimestre),((Datos!M18/Datos!L18)*11)/factor_trimestre," - ")</f>
        <v>0.10183299389002037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-5.9866962305986697E-2</v>
      </c>
      <c r="AW18" s="945">
        <f>IF(ISNUMBER((Datos!Q18-Datos!R18)/(Datos!S18-Datos!Q18+Datos!R18)),(Datos!Q18-Datos!R18)/(Datos!S18-Datos!Q18+Datos!R18)," - ")</f>
        <v>-5.8359917432914243E-2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118</v>
      </c>
      <c r="G19" s="950">
        <f t="shared" si="4"/>
        <v>118</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0</v>
      </c>
      <c r="AE19" s="956">
        <f t="shared" si="5"/>
        <v>0</v>
      </c>
      <c r="AF19" s="957">
        <f t="shared" si="5"/>
        <v>114</v>
      </c>
      <c r="AG19" s="957">
        <f t="shared" si="5"/>
        <v>0</v>
      </c>
      <c r="AH19" s="957">
        <f t="shared" si="5"/>
        <v>0</v>
      </c>
      <c r="AI19" s="957">
        <f t="shared" si="5"/>
        <v>0</v>
      </c>
      <c r="AJ19" s="958">
        <f t="shared" si="5"/>
        <v>0</v>
      </c>
      <c r="AK19" s="958">
        <f t="shared" si="5"/>
        <v>0</v>
      </c>
      <c r="AL19" s="950">
        <f t="shared" si="5"/>
        <v>6</v>
      </c>
      <c r="AM19" s="950">
        <f t="shared" si="5"/>
        <v>10</v>
      </c>
      <c r="AN19" s="950">
        <f t="shared" si="5"/>
        <v>0</v>
      </c>
      <c r="AO19" s="950">
        <f t="shared" si="5"/>
        <v>0</v>
      </c>
      <c r="AP19" s="950">
        <f>IF(ISNUMBER(((Datos!L19/Datos!K19)*11)/factor_trimestre),((Datos!L19/Datos!K19)*11)/factor_trimestre," - ")</f>
        <v>5.127631139325092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-0.17796610169491525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-5.8684697327294763E-3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68.127331764375839</v>
      </c>
      <c r="G21" s="736">
        <f>IF(ISNUMBER(STDEV(G8:G18)),STDEV(G8:G18),"-")</f>
        <v>68.127331764375839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3.7194471340189788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1HggSRdqMRFSuyntypX+or04Pxu3tuZY/9iID8tv79nEGmJa3N6MC8VyI4LT1Qej73bCdXKsd3Bj58sHD1u+A==" saltValue="/URMZLWavRnwk34o3wG7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MATARO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YVYXoAX7Jsf/jT+4uXHC3fcwEWt1PDD8dtLqmNa4/RG8uhoUymAlZQwTDVI9/RMszNVyMbKCRrTj7up6hLfxg==" saltValue="KDp1gFpMBpQtvgjHUO96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MATARO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536</v>
      </c>
      <c r="E9" s="403">
        <f t="shared" ref="E9:E13" si="0">IF(ISNUMBER(D9/B9),D9/B9," - ")</f>
        <v>76.571428571428569</v>
      </c>
      <c r="F9" s="402">
        <f>IF(ISNUMBER(Datos!N9),Datos!N9," - ")</f>
        <v>999</v>
      </c>
      <c r="G9" s="403">
        <f t="shared" ref="G9:G13" si="1">IF(ISNUMBER(F9/B9),F9/B9," - ")</f>
        <v>142.71428571428572</v>
      </c>
      <c r="H9" s="402">
        <f>IF(ISNUMBER(Datos!O9),Datos!O9," - ")</f>
        <v>1061</v>
      </c>
      <c r="I9" s="403">
        <f>IF(ISNUMBER(H9/B9),H9/B9," - ")</f>
        <v>151.57142857142858</v>
      </c>
      <c r="BZ9" s="1185">
        <f>Datos!EZ9</f>
        <v>0</v>
      </c>
    </row>
    <row r="10" spans="1:78">
      <c r="A10" s="401" t="str">
        <f>Datos!A10</f>
        <v>Jdos. Violencia contra la mujer/Secc Viol. TI.</v>
      </c>
      <c r="B10" s="426">
        <f>Datos!AO10</f>
        <v>2</v>
      </c>
      <c r="C10" s="409">
        <f>Datos!AQ10</f>
        <v>1</v>
      </c>
      <c r="D10" s="402">
        <f>IF(ISNUMBER(Datos!M10),Datos!M10," - ")</f>
        <v>6</v>
      </c>
      <c r="E10" s="403">
        <f>IF(ISNUMBER(D10/B10),D10/B10," - ")</f>
        <v>3</v>
      </c>
      <c r="F10" s="402">
        <f>IF(ISNUMBER(Datos!N10),Datos!N10," - ")</f>
        <v>10</v>
      </c>
      <c r="G10" s="403">
        <f>IF(ISNUMBER(F10/B10),F10/B10," - ")</f>
        <v>5</v>
      </c>
      <c r="H10" s="402">
        <f>IF(ISNUMBER(Datos!O10),Datos!O10," - ")</f>
        <v>7</v>
      </c>
      <c r="I10" s="403">
        <f t="shared" ref="I10:I12" si="2">IF(ISNUMBER(H10/B10),H10/B10," - ")</f>
        <v>3.5</v>
      </c>
      <c r="BZ10" s="1185">
        <f>Datos!EZ10</f>
        <v>0</v>
      </c>
    </row>
    <row r="11" spans="1:78">
      <c r="A11" s="401" t="str">
        <f>Datos!A11</f>
        <v xml:space="preserve">Jdos. Familia                                   </v>
      </c>
      <c r="B11" s="426">
        <f>Datos!AO11</f>
        <v>2</v>
      </c>
      <c r="C11" s="409">
        <f>Datos!AQ11</f>
        <v>2</v>
      </c>
      <c r="D11" s="402">
        <f>IF(ISNUMBER(Datos!M11),Datos!M11," - ")</f>
        <v>136</v>
      </c>
      <c r="E11" s="403">
        <f t="shared" si="0"/>
        <v>68</v>
      </c>
      <c r="F11" s="402">
        <f>IF(ISNUMBER(Datos!N11),Datos!N11," - ")</f>
        <v>243</v>
      </c>
      <c r="G11" s="403">
        <f t="shared" si="1"/>
        <v>121.5</v>
      </c>
      <c r="H11" s="402">
        <f>IF(ISNUMBER(Datos!O11),Datos!O11," - ")</f>
        <v>184</v>
      </c>
      <c r="I11" s="403">
        <f t="shared" si="2"/>
        <v>92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678</v>
      </c>
      <c r="E13" s="849">
        <f t="shared" si="0"/>
        <v>67.8</v>
      </c>
      <c r="F13" s="848">
        <f>SUBTOTAL(9,F9:F12)</f>
        <v>1252</v>
      </c>
      <c r="G13" s="849">
        <f t="shared" si="1"/>
        <v>125.2</v>
      </c>
      <c r="H13" s="848">
        <f>SUBTOTAL(9,H9:H12)</f>
        <v>1252</v>
      </c>
      <c r="I13" s="849">
        <f>IF(ISNUMBER(H13/B13),H13/B13," - ")</f>
        <v>125.2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286</v>
      </c>
      <c r="E15" s="403">
        <f t="shared" ref="E15:E18" si="3">IF(ISNUMBER(D15/B15),D15/B15," - ")</f>
        <v>57.2</v>
      </c>
      <c r="F15" s="402">
        <f>IF(ISNUMBER(Datos!N15),Datos!N15," - ")</f>
        <v>1890</v>
      </c>
      <c r="G15" s="403">
        <f t="shared" ref="G15:G18" si="4">IF(ISNUMBER(F15/B15),F15/B15," - ")</f>
        <v>378</v>
      </c>
      <c r="H15" s="402">
        <f>IF(ISNUMBER(Datos!O15),Datos!O15," - ")</f>
        <v>29</v>
      </c>
      <c r="I15" s="403">
        <f t="shared" ref="I15:I17" si="5">IF(ISNUMBER(H15/B15),H15/B15," - ")</f>
        <v>5.8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14</v>
      </c>
      <c r="E17" s="403">
        <f>IF(ISNUMBER(D17/B17),D17/B17," - ")</f>
        <v>7</v>
      </c>
      <c r="F17" s="402">
        <f>IF(ISNUMBER(Datos!N17),Datos!N17," - ")</f>
        <v>77</v>
      </c>
      <c r="G17" s="403">
        <f>IF(ISNUMBER(F17/B17),F17/B17," - ")</f>
        <v>38.5</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300</v>
      </c>
      <c r="E18" s="849">
        <f t="shared" si="3"/>
        <v>50</v>
      </c>
      <c r="F18" s="848">
        <f>SUBTOTAL(9,F15:F17)</f>
        <v>1967</v>
      </c>
      <c r="G18" s="849">
        <f t="shared" si="4"/>
        <v>327.83333333333331</v>
      </c>
      <c r="H18" s="848">
        <f>SUBTOTAL(9,H15:H17)</f>
        <v>29</v>
      </c>
      <c r="I18" s="849">
        <f>IF(ISNUMBER(H18/B18),H18/B18," - ")</f>
        <v>4.833333333333333</v>
      </c>
      <c r="BZ18" s="1185"/>
    </row>
    <row r="19" spans="1:78" ht="14.25" thickTop="1" thickBot="1">
      <c r="A19" s="792" t="str">
        <f>Datos!A19</f>
        <v>TOTAL JURISDICCIONES</v>
      </c>
      <c r="B19" s="793">
        <f>Datos!AP19</f>
        <v>15</v>
      </c>
      <c r="C19" s="793">
        <f>Datos!AR19</f>
        <v>15</v>
      </c>
      <c r="D19" s="793">
        <f>SUBTOTAL(9,D8:D18)</f>
        <v>978</v>
      </c>
      <c r="E19" s="794">
        <f>IF(ISNUMBER(D19/B19),D19/B19," - ")</f>
        <v>65.2</v>
      </c>
      <c r="F19" s="793">
        <f>SUBTOTAL(9,F8:F18)</f>
        <v>3219</v>
      </c>
      <c r="G19" s="794">
        <f>IF(ISNUMBER(F19/B19),F19/B19," - ")</f>
        <v>214.6</v>
      </c>
      <c r="H19" s="793">
        <f>SUBTOTAL(9,H8:H18)</f>
        <v>1281</v>
      </c>
      <c r="I19" s="794">
        <f>IF(ISNUMBER(H19/B19),H19/B19," - ")</f>
        <v>85.4</v>
      </c>
    </row>
    <row r="22" spans="1:78">
      <c r="A22" s="390" t="str">
        <f>Criterios!A4</f>
        <v>Fecha Informe: 09 dic. 2025</v>
      </c>
    </row>
    <row r="27" spans="1:78">
      <c r="A27" s="413"/>
    </row>
  </sheetData>
  <sheetProtection algorithmName="SHA-512" hashValue="cHvBZKqO/LMiLOvzfB8YABRmqhKxyqtpFdQq6QbRDI9nhqGEUCutGqVHMQiLsh8FMRcKCS5WxXPz4sC7kqIG7A==" saltValue="iEnu6cMFwSKuSDu6x3Cw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MATARO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1704</v>
      </c>
      <c r="C9" s="433">
        <f>IF(ISNUMBER(Datos!Q9),Datos!Q9," - ")</f>
        <v>1782</v>
      </c>
      <c r="D9" s="407">
        <f>IF(ISNUMBER(Datos!R9),Datos!R9," - ")</f>
        <v>13755</v>
      </c>
    </row>
    <row r="10" spans="1:4">
      <c r="A10" s="401" t="str">
        <f>Datos!A10</f>
        <v>Jdos. Violencia contra la mujer/Secc Viol. TI.</v>
      </c>
      <c r="B10" s="432">
        <f>IF(ISNUMBER(Datos!P10),Datos!P10," - ")</f>
        <v>4</v>
      </c>
      <c r="C10" s="433">
        <f>IF(ISNUMBER(Datos!Q10),Datos!Q10," - ")</f>
        <v>4</v>
      </c>
      <c r="D10" s="407">
        <f>IF(ISNUMBER(Datos!R10),Datos!R10," - ")</f>
        <v>189</v>
      </c>
    </row>
    <row r="11" spans="1:4">
      <c r="A11" s="401" t="str">
        <f>Datos!A11</f>
        <v xml:space="preserve">Jdos. Familia                                   </v>
      </c>
      <c r="B11" s="432">
        <f>IF(ISNUMBER(Datos!P11),Datos!P11," - ")</f>
        <v>87</v>
      </c>
      <c r="C11" s="433">
        <f>IF(ISNUMBER(Datos!Q11),Datos!Q11," - ")</f>
        <v>74</v>
      </c>
      <c r="D11" s="407">
        <f>IF(ISNUMBER(Datos!R11),Datos!R11," - ")</f>
        <v>1217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1795</v>
      </c>
      <c r="C13" s="852">
        <f>SUBTOTAL(9,C9:C12)</f>
        <v>1860</v>
      </c>
      <c r="D13" s="850">
        <f>SUBTOTAL(9,D9:D12)</f>
        <v>15161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86</v>
      </c>
      <c r="C15" s="433">
        <f>IF(ISNUMBER(Datos!Q15),Datos!Q15," - ")</f>
        <v>113</v>
      </c>
      <c r="D15" s="407">
        <f>IF(ISNUMBER(Datos!R15),Datos!R15," - ")</f>
        <v>424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86</v>
      </c>
      <c r="C18" s="852">
        <f>SUBTOTAL(9,C15:C17)</f>
        <v>113</v>
      </c>
      <c r="D18" s="850">
        <f>SUBTOTAL(9,D15:D17)</f>
        <v>424</v>
      </c>
    </row>
    <row r="19" spans="1:4" ht="16.5" customHeight="1" thickTop="1" thickBot="1">
      <c r="A19" s="792" t="str">
        <f>Datos!A19</f>
        <v>TOTAL JURISDICCIONES</v>
      </c>
      <c r="B19" s="797">
        <f>SUBTOTAL(9,B8:B18)</f>
        <v>1881</v>
      </c>
      <c r="C19" s="798">
        <f>SUBTOTAL(9,C8:C18)</f>
        <v>1973</v>
      </c>
      <c r="D19" s="799">
        <f>SUBTOTAL(9,D8:D18)</f>
        <v>15585</v>
      </c>
    </row>
    <row r="20" spans="1:4" ht="7.5" customHeight="1"/>
    <row r="21" spans="1:4" ht="6" customHeight="1"/>
    <row r="22" spans="1:4">
      <c r="A22" s="390" t="str">
        <f>Criterios!A4</f>
        <v>Fecha Informe: 09 dic. 2025</v>
      </c>
    </row>
    <row r="27" spans="1:4">
      <c r="A27" s="413"/>
    </row>
  </sheetData>
  <sheetProtection algorithmName="SHA-512" hashValue="h7ITehvR6SN7AeUnYNv1Fdh2Ct/pl9yoS4kRiAFcxG+XtH2miOGLRYpqEABwsL+o6+avTWobVzKgizwY8QQWTg==" saltValue="9/OKNPCcp8jrbotuKJx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MATARO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0.22473771397018222</v>
      </c>
      <c r="C9" s="455">
        <f>IF(ISNUMBER(
   IF(J_V="SI",(Datos!J9-Datos!T9)/Datos!T9,(Datos!J9+Datos!Z9-(Datos!T9+Datos!AH9))/(Datos!T9+Datos!AH9))
     ),IF(J_V="SI",(Datos!J9-Datos!T9)/Datos!T9,(Datos!J9+Datos!Z9-(Datos!T9+Datos!AH9))/(Datos!T9+Datos!AH9))," - ")</f>
        <v>-0.25427775567051331</v>
      </c>
      <c r="D9" s="455">
        <f>IF(ISNUMBER(
   IF(J_V="SI",(Datos!K9-Datos!U9)/Datos!U9,(Datos!K9+Datos!AA9-(Datos!U9+Datos!AI9))/(Datos!U9+Datos!AI9))
     ),IF(J_V="SI",(Datos!K9-Datos!U9)/Datos!U9,(Datos!K9+Datos!AA9-(Datos!U9+Datos!AI9))/(Datos!U9+Datos!AI9))," - ")</f>
        <v>-0.14345669591758869</v>
      </c>
      <c r="E9" s="455">
        <f>IF(ISNUMBER(
   IF(J_V="SI",(Datos!L9-Datos!V9)/Datos!V9,(Datos!L9+Datos!AB9-(Datos!V9+Datos!AJ9))/(Datos!V9+Datos!AJ9))
     ),IF(J_V="SI",(Datos!L9-Datos!V9)/Datos!V9,(Datos!L9+Datos!AB9-(Datos!V9+Datos!AJ9))/(Datos!V9+Datos!AJ9))," - ")</f>
        <v>0.17651175811870101</v>
      </c>
      <c r="F9" s="455">
        <f>IF(ISNUMBER((Datos!M9-Datos!W9)/Datos!W9),(Datos!M9-Datos!W9)/Datos!W9," - ")</f>
        <v>-0.16510903426791276</v>
      </c>
      <c r="G9" s="456">
        <f>IF(ISNUMBER((Datos!N9-Datos!X9)/Datos!X9),(Datos!N9-Datos!X9)/Datos!X9," - ")</f>
        <v>-0.12214411247803164</v>
      </c>
      <c r="H9" s="454">
        <f>IF(ISNUMBER(((NºAsuntos!G9/NºAsuntos!E9)-Datos!BD9)/Datos!BD9),((NºAsuntos!G9/NºAsuntos!E9)-Datos!BD9)/Datos!BD9," - ")</f>
        <v>0.14860903050112034</v>
      </c>
      <c r="I9" s="455">
        <f>IF(ISNUMBER(((NºAsuntos!I9/NºAsuntos!G9)-Datos!BE9)/Datos!BE9),((NºAsuntos!I9/NºAsuntos!G9)-Datos!BE9)/Datos!BE9," - ")</f>
        <v>0.37355782540272403</v>
      </c>
      <c r="J9" s="460">
        <f>IF(ISNUMBER((('Resol  Asuntos'!D9/NºAsuntos!G9)-Datos!BF9)/Datos!BF9),(('Resol  Asuntos'!D9/NºAsuntos!G9)-Datos!BF9)/Datos!BF9," - ")</f>
        <v>-0.45011331566730994</v>
      </c>
      <c r="K9" s="461">
        <f>IF(ISNUMBER((((NºAsuntos!C9+NºAsuntos!E9)/NºAsuntos!G9)-Datos!BG9)/Datos!BG9),(((NºAsuntos!C9+NºAsuntos!E9)/NºAsuntos!G9)-Datos!BG9)/Datos!BG9," - ")</f>
        <v>0.285823050231996</v>
      </c>
    </row>
    <row r="10" spans="1:11" ht="21">
      <c r="A10" s="401" t="str">
        <f>Datos!A10</f>
        <v>Jdos. Violencia contra la mujer/Secc Viol. TI.</v>
      </c>
      <c r="B10" s="454">
        <f>IF(ISNUMBER((Datos!I10-Datos!S10)/Datos!S10),(Datos!I10-Datos!S10)/Datos!S10," - ")</f>
        <v>0.19191919191919191</v>
      </c>
      <c r="C10" s="455">
        <f>IF(ISNUMBER((Datos!J10-Datos!T10)/Datos!T10),(Datos!J10-Datos!T10)/Datos!T10," - ")</f>
        <v>-0.39285714285714285</v>
      </c>
      <c r="D10" s="455">
        <f>IF(ISNUMBER((Datos!K10-Datos!U10)/Datos!U10),(Datos!K10-Datos!U10)/Datos!U10," - ")</f>
        <v>-0.32258064516129031</v>
      </c>
      <c r="E10" s="455">
        <f>IF(ISNUMBER((Datos!L10-Datos!V10)/Datos!V10),(Datos!L10-Datos!V10)/Datos!V10," - ")</f>
        <v>0.1875</v>
      </c>
      <c r="F10" s="455">
        <f>IF(ISNUMBER((Datos!M10-Datos!W10)/Datos!W10),(Datos!M10-Datos!W10)/Datos!W10," - ")</f>
        <v>-0.6</v>
      </c>
      <c r="G10" s="456">
        <f>IF(ISNUMBER((Datos!N10-Datos!X10)/Datos!X10),(Datos!N10-Datos!X10)/Datos!X10," - ")</f>
        <v>0.42857142857142855</v>
      </c>
      <c r="H10" s="454">
        <f>IF(ISNUMBER(((NºAsuntos!G10/NºAsuntos!E10)-Datos!BD10)/Datos!BD10),((NºAsuntos!G10/NºAsuntos!E10)-Datos!BD10)/Datos!BD10," - ")</f>
        <v>0.11574952561669828</v>
      </c>
      <c r="I10" s="455">
        <f>IF(ISNUMBER(((NºAsuntos!I10/NºAsuntos!G10)-Datos!BE10)/Datos!BE10),((NºAsuntos!I10/NºAsuntos!G10)-Datos!BE10)/Datos!BE10," - ")</f>
        <v>0.75297619047619058</v>
      </c>
      <c r="J10" s="460">
        <f>IF(ISNUMBER((('Resol  Asuntos'!D10/NºAsuntos!G10)-Datos!BF10)/Datos!BF10),(('Resol  Asuntos'!D10/NºAsuntos!G10)-Datos!BF10)/Datos!BF10," - ")</f>
        <v>-0.40952380952380957</v>
      </c>
      <c r="K10" s="461">
        <f>IF(ISNUMBER((((NºAsuntos!C10+NºAsuntos!E10)/NºAsuntos!G10)-Datos!BG10)/Datos!BG10),(((NºAsuntos!C10+NºAsuntos!E10)/NºAsuntos!G10)-Datos!BG10)/Datos!BG10," - ")</f>
        <v>0.56917885264341972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-2.3387096774193549E-2</v>
      </c>
      <c r="C11" s="455">
        <f>IF(ISNUMBER(
   IF(J_V="SI",(Datos!J11-Datos!T11)/Datos!T11,(Datos!J11+Datos!Z11-(Datos!T11+Datos!AH11))/(Datos!T11+Datos!AH11))
     ),IF(J_V="SI",(Datos!J11-Datos!T11)/Datos!T11,(Datos!J11+Datos!Z11-(Datos!T11+Datos!AH11))/(Datos!T11+Datos!AH11))," - ")</f>
        <v>-0.15682656826568267</v>
      </c>
      <c r="D11" s="455">
        <f>IF(ISNUMBER(
   IF(J_V="SI",(Datos!K11-Datos!U11)/Datos!U11,(Datos!K11+Datos!AA11-(Datos!U11+Datos!AI11))/(Datos!U11+Datos!AI11))
     ),IF(J_V="SI",(Datos!K11-Datos!U11)/Datos!U11,(Datos!K11+Datos!AA11-(Datos!U11+Datos!AI11))/(Datos!U11+Datos!AI11))," - ")</f>
        <v>0</v>
      </c>
      <c r="E11" s="455">
        <f>IF(ISNUMBER(
   IF(J_V="SI",(Datos!L11-Datos!V11)/Datos!V11,(Datos!L11+Datos!AB11-(Datos!V11+Datos!AJ11))/(Datos!V11+Datos!AJ11))
     ),IF(J_V="SI",(Datos!L11-Datos!V11)/Datos!V11,(Datos!L11+Datos!AB11-(Datos!V11+Datos!AJ11))/(Datos!V11+Datos!AJ11))," - ")</f>
        <v>-9.1999999999999998E-2</v>
      </c>
      <c r="F11" s="455">
        <f>IF(ISNUMBER((Datos!M11-Datos!W11)/Datos!W11),(Datos!M11-Datos!W11)/Datos!W11," - ")</f>
        <v>6.25E-2</v>
      </c>
      <c r="G11" s="456">
        <f>IF(ISNUMBER((Datos!N11-Datos!X11)/Datos!X11),(Datos!N11-Datos!X11)/Datos!X11," - ")</f>
        <v>-0.21612903225806451</v>
      </c>
      <c r="H11" s="454">
        <f>IF(ISNUMBER(((NºAsuntos!G11/NºAsuntos!E11)-Datos!BD11)/Datos!BD11),((NºAsuntos!G11/NºAsuntos!E11)-Datos!BD11)/Datos!BD11," - ")</f>
        <v>0.18599562363238506</v>
      </c>
      <c r="I11" s="455">
        <f>IF(ISNUMBER(((NºAsuntos!I11/NºAsuntos!G11)-Datos!BE11)/Datos!BE11),((NºAsuntos!I11/NºAsuntos!G11)-Datos!BE11)/Datos!BE11," - ")</f>
        <v>-9.1999999999999957E-2</v>
      </c>
      <c r="J11" s="460">
        <f>IF(ISNUMBER((('Resol  Asuntos'!D11/NºAsuntos!G11)-Datos!BF11)/Datos!BF11),(('Resol  Asuntos'!D11/NºAsuntos!G11)-Datos!BF11)/Datos!BF11," - ")</f>
        <v>-0.56129032258064526</v>
      </c>
      <c r="K11" s="461">
        <f>IF(ISNUMBER((((NºAsuntos!C11+NºAsuntos!E11)/NºAsuntos!G11)-Datos!BG11)/Datos!BG11),(((NºAsuntos!C11+NºAsuntos!E11)/NºAsuntos!G11)-Datos!BG11)/Datos!BG11," - ")</f>
        <v>-6.3973063973063876E-2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0.18851217523010602</v>
      </c>
      <c r="C13" s="854">
        <f>IF(ISNUMBER(
   IF(J_V="SI",(Datos!J13-Datos!T13)/Datos!T13,(Datos!J13+Datos!Z13-(Datos!T13+Datos!AH13))/(Datos!T13+Datos!AH13))
     ),IF(J_V="SI",(Datos!J13-Datos!T13)/Datos!T13,(Datos!J13+Datos!Z13-(Datos!T13+Datos!AH13))/(Datos!T13+Datos!AH13))," - ")</f>
        <v>-0.23840415180019461</v>
      </c>
      <c r="D13" s="854">
        <f>IF(ISNUMBER(
   IF(J_V="SI",(Datos!K13-Datos!U13)/Datos!U13,(Datos!K13+Datos!AA13-(Datos!U13+Datos!AI13))/(Datos!U13+Datos!AI13))
     ),IF(J_V="SI",(Datos!K13-Datos!U13)/Datos!U13,(Datos!K13+Datos!AA13-(Datos!U13+Datos!AI13))/(Datos!U13+Datos!AI13))," - ")</f>
        <v>-0.12123115577889447</v>
      </c>
      <c r="E13" s="854">
        <f>IF(ISNUMBER(
   IF(J_V="SI",(Datos!L13-Datos!V13)/Datos!V13,(Datos!L13+Datos!AB13-(Datos!V13+Datos!AJ13))/(Datos!V13+Datos!AJ13))
     ),IF(J_V="SI",(Datos!L13-Datos!V13)/Datos!V13,(Datos!L13+Datos!AB13-(Datos!V13+Datos!AJ13))/(Datos!V13+Datos!AJ13))," - ")</f>
        <v>0.13710247349823321</v>
      </c>
      <c r="F13" s="855">
        <f>IF(ISNUMBER((Datos!M13-Datos!W13)/Datos!W13),(Datos!M13-Datos!W13)/Datos!W13," - ")</f>
        <v>-0.13630573248407643</v>
      </c>
      <c r="G13" s="856">
        <f>IF(ISNUMBER((Datos!N13-Datos!X13)/Datos!X13),(Datos!N13-Datos!X13)/Datos!X13," - ")</f>
        <v>-0.13951890034364262</v>
      </c>
      <c r="H13" s="856">
        <f>IF(ISNUMBER(((NºAsuntos!G13/NºAsuntos!E13)-Datos!BD13)/Datos!BD13),((NºAsuntos!G13/NºAsuntos!E13)-Datos!BD13)/Datos!BD13," - ")</f>
        <v>0.15385193642830858</v>
      </c>
      <c r="I13" s="856">
        <f>IF(ISNUMBER(((NºAsuntos!I13/NºAsuntos!G13)-Datos!BE13)/Datos!BE13),((NºAsuntos!I13/NºAsuntos!G13)-Datos!BE13)/Datos!BE13," - ")</f>
        <v>0.29397222145045548</v>
      </c>
      <c r="J13" s="856">
        <f>IF(ISNUMBER((('Resol  Asuntos'!D13/NºAsuntos!G13)-Datos!BF13)/Datos!BF13),(('Resol  Asuntos'!D13/NºAsuntos!G13)-Datos!BF13)/Datos!BF13," - ")</f>
        <v>-0.47263571235581314</v>
      </c>
      <c r="K13" s="856">
        <f>IF(ISNUMBER((((NºAsuntos!C13+NºAsuntos!E13)/NºAsuntos!G13)-Datos!BG13)/Datos!BG13),(((NºAsuntos!C13+NºAsuntos!E13)/NºAsuntos!G13)-Datos!BG13)/Datos!BG13," - ")</f>
        <v>0.22408759311927998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0.10477223427331887</v>
      </c>
      <c r="C15" s="455">
        <f>IF(ISNUMBER(
   IF(D_I="SI",(Datos!J15-Datos!T15)/Datos!T15,(Datos!J15+Datos!AD15-(Datos!T15+Datos!AL15))/(Datos!T15+Datos!AL15))
     ),IF(D_I="SI",(Datos!J15-Datos!T15)/Datos!T15,(Datos!J15+Datos!AD15-(Datos!T15+Datos!AL15))/(Datos!T15+Datos!AL15))," - ")</f>
        <v>7.8889239507731149E-2</v>
      </c>
      <c r="D15" s="455">
        <f>IF(ISNUMBER(
   IF(D_I="SI",(Datos!K15-Datos!U15)/Datos!U15,(Datos!K15+Datos!AE15-(Datos!U15+Datos!AM15))/(Datos!U15+Datos!AM15))
     ),IF(D_I="SI",(Datos!K15-Datos!U15)/Datos!U15,(Datos!K15+Datos!AE15-(Datos!U15+Datos!AM15))/(Datos!U15+Datos!AM15))," - ")</f>
        <v>7.9507651363938794E-2</v>
      </c>
      <c r="E15" s="455">
        <f>IF(ISNUMBER(
   IF(D_I="SI",(Datos!L15-Datos!V15)/Datos!V15,(Datos!L15+Datos!AF15-(Datos!V15+Datos!AN15))/(Datos!V15+Datos!AN15))
     ),IF(D_I="SI",(Datos!L15-Datos!V15)/Datos!V15,(Datos!L15+Datos!AF15-(Datos!V15+Datos!AN15))/(Datos!V15+Datos!AN15))," - ")</f>
        <v>0.10241465445462115</v>
      </c>
      <c r="F15" s="455">
        <f>IF(ISNUMBER((Datos!M15-Datos!W15)/Datos!W15),(Datos!M15-Datos!W15)/Datos!W15," - ")</f>
        <v>8.3333333333333329E-2</v>
      </c>
      <c r="G15" s="456">
        <f>IF(ISNUMBER((Datos!N15-Datos!X15)/Datos!X15),(Datos!N15-Datos!X15)/Datos!X15," - ")</f>
        <v>0.17903930131004367</v>
      </c>
      <c r="H15" s="454">
        <f>IF(ISNUMBER(((NºAsuntos!G15/NºAsuntos!E15)-Datos!BD15)/Datos!BD15),((NºAsuntos!G15/NºAsuntos!E15)-Datos!BD15)/Datos!BD15," - ")</f>
        <v>5.7319308930160501E-4</v>
      </c>
      <c r="I15" s="455">
        <f>IF(ISNUMBER(((NºAsuntos!I15/NºAsuntos!G15)-Datos!BE15)/Datos!BE15),((NºAsuntos!I15/NºAsuntos!G15)-Datos!BE15)/Datos!BE15," - ")</f>
        <v>2.1219861722832439E-2</v>
      </c>
      <c r="J15" s="460">
        <f>IF(ISNUMBER((('Resol  Asuntos'!D15/NºAsuntos!G15)-Datos!BF15)/Datos!BF15),(('Resol  Asuntos'!D15/NºAsuntos!G15)-Datos!BF15)/Datos!BF15," - ")</f>
        <v>3.5439137134051849E-3</v>
      </c>
      <c r="K15" s="461">
        <f>IF(ISNUMBER((((NºAsuntos!C15+NºAsuntos!E15)/NºAsuntos!G15)-Datos!BG15)/Datos!BG15),(((NºAsuntos!C15+NºAsuntos!E15)/NºAsuntos!G15)-Datos!BG15)/Datos!BG15," - ")</f>
        <v>1.3636215079474998E-2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0.37990196078431371</v>
      </c>
      <c r="C17" s="455">
        <f>IF(ISNUMBER(
   IF(D_I="SI",(Datos!J17-Datos!T17)/Datos!T17,(Datos!J17+Datos!AD17-(Datos!T17+Datos!AL17))/(Datos!T17+Datos!AL17))
     ),IF(D_I="SI",(Datos!J17-Datos!T17)/Datos!T17,(Datos!J17+Datos!AD17-(Datos!T17+Datos!AL17))/(Datos!T17+Datos!AL17))," - ")</f>
        <v>-8.0645161290322578E-2</v>
      </c>
      <c r="D17" s="455">
        <f>IF(ISNUMBER(
   IF(D_I="SI",(Datos!K17-Datos!U17)/Datos!U17,(Datos!K17+Datos!AE17-(Datos!U17+Datos!AM17))/(Datos!U17+Datos!AM17))
     ),IF(D_I="SI",(Datos!K17-Datos!U17)/Datos!U17,(Datos!K17+Datos!AE17-(Datos!U17+Datos!AM17))/(Datos!U17+Datos!AM17))," - ")</f>
        <v>-0.12946428571428573</v>
      </c>
      <c r="E17" s="455">
        <f>IF(ISNUMBER(
   IF(D_I="SI",(Datos!L17-Datos!V17)/Datos!V17,(Datos!L17+Datos!AF17-(Datos!V17+Datos!AN17))/(Datos!V17+Datos!AN17))
     ),IF(D_I="SI",(Datos!L17-Datos!V17)/Datos!V17,(Datos!L17+Datos!AF17-(Datos!V17+Datos!AN17))/(Datos!V17+Datos!AN17))," - ")</f>
        <v>0.37327188940092165</v>
      </c>
      <c r="F17" s="455">
        <f>IF(ISNUMBER((Datos!M17-Datos!W17)/Datos!W17),(Datos!M17-Datos!W17)/Datos!W17," - ")</f>
        <v>0.4</v>
      </c>
      <c r="G17" s="456">
        <f>IF(ISNUMBER((Datos!N17-Datos!X17)/Datos!X17),(Datos!N17-Datos!X17)/Datos!X17," - ")</f>
        <v>-0.43382352941176472</v>
      </c>
      <c r="H17" s="454">
        <f>IF(ISNUMBER(((NºAsuntos!G17/NºAsuntos!E17)-Datos!BD17)/Datos!BD17),((NºAsuntos!G17/NºAsuntos!E17)-Datos!BD17)/Datos!BD17," - ")</f>
        <v>-5.3101503759398476E-2</v>
      </c>
      <c r="I17" s="455">
        <f>IF(ISNUMBER(((NºAsuntos!I17/NºAsuntos!G17)-Datos!BE17)/Datos!BE17),((NºAsuntos!I17/NºAsuntos!G17)-Datos!BE17)/Datos!BE17," - ")</f>
        <v>0.57750206782464841</v>
      </c>
      <c r="J17" s="460">
        <f>IF(ISNUMBER((('Resol  Asuntos'!D17/NºAsuntos!G17)-Datos!BF17)/Datos!BF17),(('Resol  Asuntos'!D17/NºAsuntos!G17)-Datos!BF17)/Datos!BF17," - ")</f>
        <v>0.60820512820512806</v>
      </c>
      <c r="K17" s="461">
        <f>IF(ISNUMBER((((NºAsuntos!C17+NºAsuntos!E17)/NºAsuntos!G17)-Datos!BG17)/Datos!BG17),(((NºAsuntos!C17+NºAsuntos!E17)/NºAsuntos!G17)-Datos!BG17)/Datos!BG17," - ")</f>
        <v>0.38511569731081929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0.12714228776404943</v>
      </c>
      <c r="C18" s="854">
        <f>IF(ISNUMBER(
   IF(Criterios!B14="SI",(Datos!J18-Datos!T18)/Datos!T18,(Datos!J18+Datos!AD18-(Datos!T18+Datos!AL18))/(Datos!T18+Datos!AL18))
     ),IF(Criterios!B14="SI",(Datos!J18-Datos!T18)/Datos!T18,(Datos!J18+Datos!AD18-(Datos!T18+Datos!AL18))/(Datos!T18+Datos!AL18))," - ")</f>
        <v>6.7310506292069069E-2</v>
      </c>
      <c r="D18" s="854">
        <f>IF(ISNUMBER(
   IF(Criterios!B14="SI",(Datos!K18-Datos!U18)/Datos!U18,(Datos!K18+Datos!AE18-(Datos!U18+Datos!AM18))/(Datos!U18+Datos!AM18))
     ),IF(Criterios!B14="SI",(Datos!K18-Datos!U18)/Datos!U18,(Datos!K18+Datos!AE18-(Datos!U18+Datos!AM18))/(Datos!U18+Datos!AM18))," - ")</f>
        <v>6.5015479876160992E-2</v>
      </c>
      <c r="E18" s="854">
        <f>IF(ISNUMBER(
   IF(Criterios!B14="SI",(Datos!L18-Datos!V18)/Datos!V18,(Datos!L18+Datos!AF18-(Datos!V18+Datos!AN18))/(Datos!V18+Datos!AN18))
     ),IF(Criterios!B14="SI",(Datos!L18-Datos!V18)/Datos!V18,(Datos!L18+Datos!AF18-(Datos!V18+Datos!AN18))/(Datos!V18+Datos!AN18))," - ")</f>
        <v>0.12485681557846506</v>
      </c>
      <c r="F18" s="855">
        <f>IF(ISNUMBER((Datos!M18-Datos!W18)/Datos!W18),(Datos!M18-Datos!W18)/Datos!W18," - ")</f>
        <v>9.4890510948905105E-2</v>
      </c>
      <c r="G18" s="856">
        <f>IF(ISNUMBER((Datos!N18-Datos!X18)/Datos!X18),(Datos!N18-Datos!X18)/Datos!X18," - ")</f>
        <v>0.13110983323749281</v>
      </c>
      <c r="H18" s="856">
        <f>IF(ISNUMBER(((NºAsuntos!G18/NºAsuntos!E18)-Datos!BD18)/Datos!BD18),((NºAsuntos!G18/NºAsuntos!E18)-Datos!BD18)/Datos!BD18," - ")</f>
        <v>-2.1502893510167817E-3</v>
      </c>
      <c r="I18" s="856">
        <f>IF(ISNUMBER(((NºAsuntos!I18/NºAsuntos!G18)-Datos!BE18)/Datos!BE18),((NºAsuntos!I18/NºAsuntos!G18)-Datos!BE18)/Datos!BE18," - ")</f>
        <v>5.6188230906523882E-2</v>
      </c>
      <c r="J18" s="856">
        <f>IF(ISNUMBER((('Resol  Asuntos'!D18/NºAsuntos!G18)-Datos!BF18)/Datos!BF18),(('Resol  Asuntos'!D18/NºAsuntos!G18)-Datos!BF18)/Datos!BF18," - ")</f>
        <v>2.805126464097776E-2</v>
      </c>
      <c r="K18" s="856">
        <f>IF(ISNUMBER((((NºAsuntos!C18+NºAsuntos!E18)/NºAsuntos!G18)-Datos!BG18)/Datos!BG18),(((NºAsuntos!C18+NºAsuntos!E18)/NºAsuntos!G18)-Datos!BG18)/Datos!BG18," - ")</f>
        <v>3.5576088005403884E-2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0.16587015660613191</v>
      </c>
      <c r="C19" s="801">
        <f>IF(ISNUMBER(
   IF(J_V="SI",(Datos!J19-Datos!T19)/Datos!T19,(Datos!J19+Datos!Z19-(Datos!T19+Datos!AH19))/(Datos!T19+Datos!AH19))
     ),IF(J_V="SI",(Datos!J19-Datos!T19)/Datos!T19,(Datos!J19+Datos!Z19-(Datos!T19+Datos!AH19))/(Datos!T19+Datos!AH19))," - ")</f>
        <v>-7.7692307692307686E-2</v>
      </c>
      <c r="D19" s="801">
        <f>IF(ISNUMBER(
   IF(J_V="SI",(Datos!K19-Datos!U19)/Datos!U19,(Datos!K19+Datos!AA19-(Datos!U19+Datos!AI19))/(Datos!U19+Datos!AI19))
     ),IF(J_V="SI",(Datos!K19-Datos!U19)/Datos!U19,(Datos!K19+Datos!AA19-(Datos!U19+Datos!AI19))/(Datos!U19+Datos!AI19))," - ")</f>
        <v>-2.7439975054568133E-2</v>
      </c>
      <c r="E19" s="801">
        <f>IF(ISNUMBER(
   IF(J_V="SI",(Datos!L19-Datos!V19)/Datos!V19,(Datos!L19+Datos!AB19-(Datos!V19+Datos!AJ19))/(Datos!V19+Datos!AJ19))
     ),IF(J_V="SI",(Datos!L19-Datos!V19)/Datos!V19,(Datos!L19+Datos!AB19-(Datos!V19+Datos!AJ19))/(Datos!V19+Datos!AJ19))," - ")</f>
        <v>0.13243006993006992</v>
      </c>
      <c r="F19" s="802">
        <f>IF(ISNUMBER((Datos!M19-Datos!W19)/Datos!W19),(Datos!M19-Datos!W19)/Datos!W19," - ")</f>
        <v>-7.6487252124645896E-2</v>
      </c>
      <c r="G19" s="803">
        <f>IF(ISNUMBER((Datos!N19-Datos!X19)/Datos!X19),(Datos!N19-Datos!X19)/Datos!X19," - ")</f>
        <v>7.8271759549154666E-3</v>
      </c>
      <c r="H19" s="804">
        <f>IF(ISNUMBER((Tasas!B19-Datos!BD19)/Datos!BD19),(Tasas!B19-Datos!BD19)/Datos!BD19," - ")</f>
        <v>5.4485431550510097E-2</v>
      </c>
      <c r="I19" s="805">
        <f>IF(ISNUMBER((Tasas!C19-Datos!BE19)/Datos!BE19),(Tasas!C19-Datos!BE19)/Datos!BE19," - ")</f>
        <v>0.16438064580498057</v>
      </c>
      <c r="J19" s="806">
        <f>IF(ISNUMBER((Tasas!D19-Datos!BF19)/Datos!BF19),(Tasas!D19-Datos!BF19)/Datos!BF19," - ")</f>
        <v>-0.42107457717781871</v>
      </c>
      <c r="K19" s="806">
        <f>IF(ISNUMBER((Tasas!E19-Datos!BG19)/Datos!BG19),(Tasas!E19-Datos!BG19)/Datos!BG19," - ")</f>
        <v>0.11778200434072765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kdH2CJkPjtEnaD7G4epxkd2N1DyljI6muNRpnEpBmwY2xvvoBR1hp+ySz5vtn5P1NX/w1Ri5gmvFNE6UUsvrA==" saltValue="mIBA23mO7Ue6AjHlhMGe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MATARO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1.1979722518676628</v>
      </c>
      <c r="C9" s="442">
        <f>IF(ISNUMBER(NºAsuntos!I9/NºAsuntos!G9),NºAsuntos!I9/NºAsuntos!G9," - ")</f>
        <v>3.7438752783964366</v>
      </c>
      <c r="D9" s="443">
        <f>IF(ISNUMBER('Resol  Asuntos'!D9/NºAsuntos!G9),'Resol  Asuntos'!D9/NºAsuntos!G9," - ")</f>
        <v>0.23875278396436525</v>
      </c>
      <c r="E9" s="444">
        <f>IF(ISNUMBER((NºAsuntos!C9+NºAsuntos!E9)/NºAsuntos!G9),(NºAsuntos!C9+NºAsuntos!E9)/NºAsuntos!G9," - ")</f>
        <v>4.7866369710467707</v>
      </c>
      <c r="G9" s="462"/>
    </row>
    <row r="10" spans="1:7" ht="21">
      <c r="A10" s="401" t="str">
        <f>Datos!A10</f>
        <v>Jdos. Violencia contra la mujer/Secc Viol. TI.</v>
      </c>
      <c r="B10" s="441">
        <f>IF(ISNUMBER(NºAsuntos!G10/NºAsuntos!E10),NºAsuntos!G10/NºAsuntos!E10," - ")</f>
        <v>1.2352941176470589</v>
      </c>
      <c r="C10" s="442">
        <f>IF(ISNUMBER(NºAsuntos!I10/NºAsuntos!G10),NºAsuntos!I10/NºAsuntos!G10," - ")</f>
        <v>5.4285714285714288</v>
      </c>
      <c r="D10" s="443">
        <f>IF(ISNUMBER('Resol  Asuntos'!D10/NºAsuntos!G10),'Resol  Asuntos'!D10/NºAsuntos!G10," - ")</f>
        <v>0.2857142857142857</v>
      </c>
      <c r="E10" s="444">
        <f>IF(ISNUMBER((NºAsuntos!C10+NºAsuntos!E10)/NºAsuntos!G10),(NºAsuntos!C10+NºAsuntos!E10)/NºAsuntos!G10," - ")</f>
        <v>6.4285714285714288</v>
      </c>
      <c r="G10" s="462"/>
    </row>
    <row r="11" spans="1:7">
      <c r="A11" s="401" t="str">
        <f>Datos!A11</f>
        <v xml:space="preserve">Jdos. Familia                                   </v>
      </c>
      <c r="B11" s="441">
        <f>IF(ISNUMBER(NºAsuntos!G11/NºAsuntos!E11),NºAsuntos!G11/NºAsuntos!E11," - ")</f>
        <v>1.1641137855579868</v>
      </c>
      <c r="C11" s="442">
        <f>IF(ISNUMBER(NºAsuntos!I11/NºAsuntos!G11),NºAsuntos!I11/NºAsuntos!G11," - ")</f>
        <v>2.1334586466165413</v>
      </c>
      <c r="D11" s="443">
        <f>IF(ISNUMBER('Resol  Asuntos'!D11/NºAsuntos!G11),'Resol  Asuntos'!D11/NºAsuntos!G11," - ")</f>
        <v>0.25563909774436089</v>
      </c>
      <c r="E11" s="444">
        <f>IF(ISNUMBER((NºAsuntos!C11+NºAsuntos!E11)/NºAsuntos!G11),(NºAsuntos!C11+NºAsuntos!E11)/NºAsuntos!G11," - ")</f>
        <v>3.1353383458646618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1.1916524701873936</v>
      </c>
      <c r="C13" s="858">
        <f>IF(ISNUMBER(NºAsuntos!I13/NºAsuntos!G13),NºAsuntos!I13/NºAsuntos!G13," - ")</f>
        <v>3.4503216583273768</v>
      </c>
      <c r="D13" s="859">
        <f>IF(ISNUMBER('Resol  Asuntos'!D13/NºAsuntos!G13),'Resol  Asuntos'!D13/NºAsuntos!G13," - ")</f>
        <v>0.24231593995711223</v>
      </c>
      <c r="E13" s="860">
        <f>IF(ISNUMBER((NºAsuntos!C13+NºAsuntos!E13)/NºAsuntos!G13),(NºAsuntos!C13+NºAsuntos!E13)/NºAsuntos!G13," - ")</f>
        <v>4.4849892780557541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0.94910792629423812</v>
      </c>
      <c r="C15" s="442">
        <f>IF(ISNUMBER(NºAsuntos!I15/NºAsuntos!G15),NºAsuntos!I15/NºAsuntos!G15," - ")</f>
        <v>1.6320493066255779</v>
      </c>
      <c r="D15" s="443">
        <f>IF(ISNUMBER('Resol  Asuntos'!D15/NºAsuntos!G15),'Resol  Asuntos'!D15/NºAsuntos!G15," - ")</f>
        <v>8.8135593220338981E-2</v>
      </c>
      <c r="E15" s="444">
        <f>IF(ISNUMBER((NºAsuntos!C15+NºAsuntos!E15)/NºAsuntos!G15),(NºAsuntos!C15+NºAsuntos!E15)/NºAsuntos!G15," - ")</f>
        <v>2.6231124807395996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0.85526315789473684</v>
      </c>
      <c r="C17" s="442">
        <f>IF(ISNUMBER(NºAsuntos!I17/NºAsuntos!G17),NºAsuntos!I17/NºAsuntos!G17," - ")</f>
        <v>3.0564102564102562</v>
      </c>
      <c r="D17" s="443">
        <f>IF(ISNUMBER('Resol  Asuntos'!D17/NºAsuntos!G17),'Resol  Asuntos'!D17/NºAsuntos!G17," - ")</f>
        <v>7.179487179487179E-2</v>
      </c>
      <c r="E17" s="444">
        <f>IF(ISNUMBER((NºAsuntos!C17+NºAsuntos!E17)/NºAsuntos!G17),(NºAsuntos!C17+NºAsuntos!E17)/NºAsuntos!G17," - ")</f>
        <v>4.0564102564102562</v>
      </c>
      <c r="G17" s="462"/>
    </row>
    <row r="18" spans="1:7" ht="14.25" thickTop="1" thickBot="1">
      <c r="A18" s="847" t="str">
        <f>Datos!A18</f>
        <v>TOTAL</v>
      </c>
      <c r="B18" s="857">
        <f>IF(ISNUMBER(NºAsuntos!G18/NºAsuntos!E18),NºAsuntos!G18/NºAsuntos!E18," - ")</f>
        <v>0.94324102001645183</v>
      </c>
      <c r="C18" s="858">
        <f>IF(ISNUMBER(NºAsuntos!I18/NºAsuntos!G18),NºAsuntos!I18/NºAsuntos!G18," - ")</f>
        <v>1.7127906976744185</v>
      </c>
      <c r="D18" s="861">
        <f>IF(ISNUMBER('Resol  Asuntos'!D18/NºAsuntos!G18),'Resol  Asuntos'!D18/NºAsuntos!G18," - ")</f>
        <v>8.7209302325581398E-2</v>
      </c>
      <c r="E18" s="860">
        <f>IF(ISNUMBER((NºAsuntos!C18+NºAsuntos!E18)/NºAsuntos!G18),(NºAsuntos!C18+NºAsuntos!E18)/NºAsuntos!G18," - ")</f>
        <v>2.7043604651162791</v>
      </c>
      <c r="G18" s="462"/>
    </row>
    <row r="19" spans="1:7" ht="15.75" customHeight="1" thickTop="1" thickBot="1">
      <c r="A19" s="792" t="str">
        <f>Datos!A19</f>
        <v>TOTAL JURISDICCIONES</v>
      </c>
      <c r="B19" s="807">
        <f>IF(ISNUMBER(NºAsuntos!G19/NºAsuntos!E19),NºAsuntos!G19/NºAsuntos!E19," - ")</f>
        <v>1.0405337781484572</v>
      </c>
      <c r="C19" s="808">
        <f>IF(ISNUMBER(NºAsuntos!I19/NºAsuntos!G19),NºAsuntos!I19/NºAsuntos!G19," - ")</f>
        <v>2.4921449182430266</v>
      </c>
      <c r="D19" s="809">
        <f>IF(ISNUMBER('Resol  Asuntos'!D19/NºAsuntos!G19),'Resol  Asuntos'!D19/NºAsuntos!G19," - ")</f>
        <v>0.1567810195575505</v>
      </c>
      <c r="E19" s="810">
        <f>IF(ISNUMBER((NºAsuntos!C19+NºAsuntos!E19)/NºAsuntos!G19),(NºAsuntos!C19+NºAsuntos!E19)/NºAsuntos!G19," - ")</f>
        <v>3.5030458480282141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p94BGkjHibQK0301hb/bocw8FkTfhBDYPDhR5BuCFyGZYcpQhbC5I8QDnlRu0lmpspolBgf6AKe3iEiISMF+g==" saltValue="rZ2IIOQnZ59d4+DiF4BY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MATARO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1704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1782</v>
      </c>
      <c r="Y9" s="333">
        <f>SUM(W9:X9)</f>
        <v>1782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13755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536</v>
      </c>
      <c r="AJ9" s="228" t="str">
        <f>IF(ISNUMBER(Datos!BW9),Datos!BW9," - ")</f>
        <v xml:space="preserve"> - </v>
      </c>
      <c r="AK9" s="227" t="str">
        <f>IF(ISNUMBER(Datos!BX9),Datos!BX9," - ")</f>
        <v xml:space="preserve"> - </v>
      </c>
      <c r="AL9" s="242">
        <f>IF(ISNUMBER(NºAsuntos!G9/NºAsuntos!E9),NºAsuntos!G9/NºAsuntos!E9," - ")</f>
        <v>1.1979722518676628</v>
      </c>
      <c r="AM9" s="259">
        <f>IF(ISNUMBER(((NºAsuntos!I9/NºAsuntos!G9)*11)/factor_trimestre),((NºAsuntos!I9/NºAsuntos!G9)*11)/factor_trimestre," - ")</f>
        <v>7.4877505567928742</v>
      </c>
      <c r="AN9" s="243">
        <f>IF(ISNUMBER('Resol  Asuntos'!D9/NºAsuntos!G9),'Resol  Asuntos'!D9/NºAsuntos!G9," - ")</f>
        <v>0.23875278396436525</v>
      </c>
      <c r="AO9" s="244">
        <f>IF(ISNUMBER((NºAsuntos!C9+NºAsuntos!E9)/NºAsuntos!G9),(NºAsuntos!C9+NºAsuntos!E9)/NºAsuntos!G9," - ")</f>
        <v>4.7866369710467707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4</v>
      </c>
      <c r="Y10" s="333">
        <f t="shared" ref="Y10:Y12" si="0">SUM(W10:X10)</f>
        <v>25</v>
      </c>
      <c r="Z10" s="334" t="str">
        <f>IF(ISNUMBER(Datos!CC10),Datos!CC10," - ")</f>
        <v xml:space="preserve"> - </v>
      </c>
      <c r="AA10" s="331">
        <f>IF(ISNUMBER(Datos!L10),Datos!L10,"-")</f>
        <v>114</v>
      </c>
      <c r="AB10" s="333">
        <f>IF(ISNUMBER(Datos!R10),Datos!R10," - ")</f>
        <v>189</v>
      </c>
      <c r="AC10" s="333">
        <f t="shared" ref="AC10:AC12" si="1">IF(ISNUMBER(AA10+AB10),AA10+AB10," - ")</f>
        <v>303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1.2352941176470589</v>
      </c>
      <c r="AM10" s="259">
        <f>IF(ISNUMBER(((NºAsuntos!I10/NºAsuntos!G10)*11)/factor_trimestre),((NºAsuntos!I10/NºAsuntos!G10)*11)/factor_trimestre," - ")</f>
        <v>10.857142857142858</v>
      </c>
      <c r="AN10" s="243">
        <f>IF(ISNUMBER('Resol  Asuntos'!D10/NºAsuntos!G10),'Resol  Asuntos'!D10/NºAsuntos!G10," - ")</f>
        <v>0.2857142857142857</v>
      </c>
      <c r="AO10" s="244">
        <f>IF(ISNUMBER((NºAsuntos!C10+NºAsuntos!E10)/NºAsuntos!G10),(NºAsuntos!C10+NºAsuntos!E10)/NºAsuntos!G10," - ")</f>
        <v>6.4285714285714288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74</v>
      </c>
      <c r="Y11" s="333">
        <f t="shared" si="0"/>
        <v>74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1217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136</v>
      </c>
      <c r="AJ11" s="230" t="str">
        <f>IF(ISNUMBER(Datos!BW11),Datos!BW11," - ")</f>
        <v xml:space="preserve"> - </v>
      </c>
      <c r="AK11" s="231" t="str">
        <f>IF(ISNUMBER(Datos!BX11),Datos!BX11," - ")</f>
        <v xml:space="preserve"> - </v>
      </c>
      <c r="AL11" s="242">
        <f>IF(ISNUMBER(NºAsuntos!G11/NºAsuntos!E11),NºAsuntos!G11/NºAsuntos!E11," - ")</f>
        <v>1.1641137855579868</v>
      </c>
      <c r="AM11" s="259">
        <f>IF(ISNUMBER(((NºAsuntos!I11/NºAsuntos!G11)*11)/factor_trimestre),((NºAsuntos!I11/NºAsuntos!G11)*11)/factor_trimestre," - ")</f>
        <v>4.2669172932330826</v>
      </c>
      <c r="AN11" s="243">
        <f>IF(ISNUMBER('Resol  Asuntos'!D11/NºAsuntos!G11),'Resol  Asuntos'!D11/NºAsuntos!G11," - ")</f>
        <v>0.25563909774436089</v>
      </c>
      <c r="AO11" s="244">
        <f>IF(ISNUMBER((NºAsuntos!C11+NºAsuntos!E11)/NºAsuntos!G11),(NºAsuntos!C11+NºAsuntos!E11)/NºAsuntos!G11," - ")</f>
        <v>3.1353383458646618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118</v>
      </c>
      <c r="G13" s="865">
        <f t="shared" si="3"/>
        <v>118</v>
      </c>
      <c r="H13" s="864">
        <f t="shared" si="3"/>
        <v>0</v>
      </c>
      <c r="I13" s="866">
        <f t="shared" si="3"/>
        <v>0</v>
      </c>
      <c r="J13" s="866">
        <f t="shared" si="3"/>
        <v>0</v>
      </c>
      <c r="K13" s="866">
        <f t="shared" si="3"/>
        <v>0</v>
      </c>
      <c r="L13" s="866">
        <f t="shared" si="3"/>
        <v>1795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1860</v>
      </c>
      <c r="Y13" s="867">
        <f t="shared" si="4"/>
        <v>1881</v>
      </c>
      <c r="Z13" s="867">
        <f t="shared" si="4"/>
        <v>0</v>
      </c>
      <c r="AA13" s="867">
        <f t="shared" si="4"/>
        <v>114</v>
      </c>
      <c r="AB13" s="867">
        <f t="shared" si="4"/>
        <v>15161</v>
      </c>
      <c r="AC13" s="867">
        <f t="shared" si="4"/>
        <v>303</v>
      </c>
      <c r="AD13" s="867">
        <f t="shared" si="4"/>
        <v>0</v>
      </c>
      <c r="AE13" s="871">
        <f t="shared" si="4"/>
        <v>0</v>
      </c>
      <c r="AF13" s="864">
        <f t="shared" si="4"/>
        <v>0</v>
      </c>
      <c r="AG13" s="872">
        <f t="shared" si="4"/>
        <v>0</v>
      </c>
      <c r="AH13" s="869">
        <f t="shared" si="4"/>
        <v>0</v>
      </c>
      <c r="AI13" s="864">
        <f t="shared" si="4"/>
        <v>678</v>
      </c>
      <c r="AJ13" s="866">
        <f t="shared" si="4"/>
        <v>0</v>
      </c>
      <c r="AK13" s="869">
        <f>SUBTOTAL(9,AK9:AK12)</f>
        <v>0</v>
      </c>
      <c r="AL13" s="873">
        <f>IF(ISNUMBER(NºAsuntos!G13/NºAsuntos!E13),NºAsuntos!G13/NºAsuntos!E13," - ")</f>
        <v>1.1916524701873936</v>
      </c>
      <c r="AM13" s="873">
        <f>IF(ISNUMBER(((NºAsuntos!I13/NºAsuntos!G13)*11)/factor_trimestre),((NºAsuntos!I13/NºAsuntos!G13)*11)/factor_trimestre," - ")</f>
        <v>6.9006433166547536</v>
      </c>
      <c r="AN13" s="874">
        <f>IF(ISNUMBER('Resol  Asuntos'!D13/NºAsuntos!G13),'Resol  Asuntos'!D13/NºAsuntos!G13," - ")</f>
        <v>0.24231593995711223</v>
      </c>
      <c r="AO13" s="875">
        <f>IF(ISNUMBER((NºAsuntos!C13+NºAsuntos!E13)/NºAsuntos!G13),(NºAsuntos!C13+NºAsuntos!E13)/NºAsuntos!G13," - ")</f>
        <v>4.4849892780557541</v>
      </c>
      <c r="AP13" s="876" t="str">
        <f t="shared" si="2"/>
        <v xml:space="preserve"> - </v>
      </c>
      <c r="AQ13" s="876">
        <f>IF(ISNUMBER((H13-W13+K13)/(F13)),(H13-W13+K13)/(F13)," - ")</f>
        <v>-0.17796610169491525</v>
      </c>
      <c r="AR13" s="877">
        <f>IF(ISNUMBER((Datos!P13-Datos!Q13)/(Datos!R13-Datos!P13+Datos!Q13)),(Datos!P13-Datos!Q13)/(Datos!R13-Datos!P13+Datos!Q13)," - ")</f>
        <v>-4.2690135294890319E-3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5122</v>
      </c>
      <c r="G15" s="332">
        <f>IF(ISNUMBER(IF(D_I="SI",Datos!I15,Datos!I15+Datos!AC15)),IF(D_I="SI",Datos!I15,Datos!I15+Datos!AC15)," - ")</f>
        <v>5093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3245</v>
      </c>
      <c r="X15" s="225">
        <f>IF(ISNUMBER(Datos!Q15),Datos!Q15," - ")</f>
        <v>113</v>
      </c>
      <c r="Y15" s="333">
        <f>SUM(W15)</f>
        <v>3245</v>
      </c>
      <c r="Z15" s="334" t="str">
        <f>IF(ISNUMBER(Datos!CC15),Datos!CC15," - ")</f>
        <v xml:space="preserve"> - </v>
      </c>
      <c r="AA15" s="331">
        <f>IF(ISNUMBER(IF(D_I="SI",Datos!L15,Datos!L15+Datos!AF15)),IF(D_I="SI",Datos!L15,Datos!L15+Datos!AF15)," - ")</f>
        <v>5296</v>
      </c>
      <c r="AB15" s="333">
        <f>IF(ISNUMBER(Datos!R15),Datos!R15," - ")</f>
        <v>424</v>
      </c>
      <c r="AC15" s="333">
        <f t="shared" ref="AC15:AC17" si="6">IF(ISNUMBER(AA15+AB15),AA15+AB15," - ")</f>
        <v>5720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286</v>
      </c>
      <c r="AJ15" s="230" t="str">
        <f>IF(ISNUMBER(Datos!BW15),Datos!BW15," - ")</f>
        <v xml:space="preserve"> - </v>
      </c>
      <c r="AK15" s="231" t="str">
        <f>IF(ISNUMBER(Datos!BX15),Datos!BX15," - ")</f>
        <v xml:space="preserve"> - </v>
      </c>
      <c r="AL15" s="242">
        <f>IF(ISNUMBER(NºAsuntos!G15/NºAsuntos!E15),NºAsuntos!G15/NºAsuntos!E15," - ")</f>
        <v>0.94910792629423812</v>
      </c>
      <c r="AM15" s="259">
        <f>IF(ISNUMBER(((NºAsuntos!I15/NºAsuntos!G15)*11)/factor_trimestre),((NºAsuntos!I15/NºAsuntos!G15)*11)/factor_trimestre," - ")</f>
        <v>3.2640986132511558</v>
      </c>
      <c r="AN15" s="243">
        <f>IF(ISNUMBER('Resol  Asuntos'!D15/NºAsuntos!G15),'Resol  Asuntos'!D15/NºAsuntos!G15," - ")</f>
        <v>8.8135593220338981E-2</v>
      </c>
      <c r="AO15" s="244">
        <f>IF(ISNUMBER((NºAsuntos!C15+NºAsuntos!E15)/NºAsuntos!G15),(NºAsuntos!C15+NºAsuntos!E15)/NºAsuntos!G15," - ")</f>
        <v>2.6231124807395996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563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195</v>
      </c>
      <c r="X17" s="225">
        <f>IF(ISNUMBER(Datos!Q17),Datos!Q17," - ")</f>
        <v>0</v>
      </c>
      <c r="Y17" s="333">
        <f t="shared" si="7"/>
        <v>195</v>
      </c>
      <c r="Z17" s="334" t="str">
        <f>IF(ISNUMBER(Datos!CC17),Datos!CC17," - ")</f>
        <v xml:space="preserve"> - </v>
      </c>
      <c r="AA17" s="331">
        <f>IF(ISNUMBER(Datos!L17),Datos!L17,"-")</f>
        <v>596</v>
      </c>
      <c r="AB17" s="333">
        <f>IF(ISNUMBER(Datos!R17),Datos!R17," - ")</f>
        <v>0</v>
      </c>
      <c r="AC17" s="333">
        <f t="shared" si="6"/>
        <v>596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0.85526315789473684</v>
      </c>
      <c r="AM17" s="259">
        <f>IF(ISNUMBER(((NºAsuntos!I17/NºAsuntos!G17)*11)/factor_trimestre),((NºAsuntos!I17/NºAsuntos!G17)*11)/factor_trimestre," - ")</f>
        <v>6.1128205128205115</v>
      </c>
      <c r="AN17" s="243">
        <f>IF(ISNUMBER('Resol  Asuntos'!D17/NºAsuntos!G17),'Resol  Asuntos'!D17/NºAsuntos!G17," - ")</f>
        <v>7.179487179487179E-2</v>
      </c>
      <c r="AO17" s="244">
        <f>IF(ISNUMBER((NºAsuntos!C17+NºAsuntos!E17)/NºAsuntos!G17),(NºAsuntos!C17+NºAsuntos!E17)/NºAsuntos!G17," - ")</f>
        <v>4.0564102564102562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5122</v>
      </c>
      <c r="G18" s="865">
        <f>SUBTOTAL(9,G15:G17)</f>
        <v>5656</v>
      </c>
      <c r="H18" s="864">
        <f t="shared" ref="H18:O18" si="10">SUBTOTAL(9,H14:H17)</f>
        <v>0</v>
      </c>
      <c r="I18" s="866">
        <f t="shared" si="10"/>
        <v>0</v>
      </c>
      <c r="J18" s="866">
        <f t="shared" si="10"/>
        <v>0</v>
      </c>
      <c r="K18" s="866">
        <f t="shared" si="10"/>
        <v>0</v>
      </c>
      <c r="L18" s="866">
        <f t="shared" si="10"/>
        <v>86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3440</v>
      </c>
      <c r="X18" s="866">
        <f t="shared" si="11"/>
        <v>113</v>
      </c>
      <c r="Y18" s="867">
        <f t="shared" si="11"/>
        <v>3440</v>
      </c>
      <c r="Z18" s="867">
        <f t="shared" si="11"/>
        <v>0</v>
      </c>
      <c r="AA18" s="867">
        <f t="shared" si="11"/>
        <v>5892</v>
      </c>
      <c r="AB18" s="867">
        <f t="shared" si="11"/>
        <v>424</v>
      </c>
      <c r="AC18" s="867">
        <f t="shared" si="11"/>
        <v>6316</v>
      </c>
      <c r="AD18" s="867">
        <f t="shared" si="11"/>
        <v>0</v>
      </c>
      <c r="AE18" s="871">
        <f t="shared" si="11"/>
        <v>0</v>
      </c>
      <c r="AF18" s="864">
        <f t="shared" si="11"/>
        <v>0</v>
      </c>
      <c r="AG18" s="872">
        <f t="shared" si="11"/>
        <v>0</v>
      </c>
      <c r="AH18" s="869">
        <f t="shared" si="11"/>
        <v>0</v>
      </c>
      <c r="AI18" s="864">
        <f t="shared" si="11"/>
        <v>300</v>
      </c>
      <c r="AJ18" s="866">
        <f t="shared" si="11"/>
        <v>0</v>
      </c>
      <c r="AK18" s="869">
        <f t="shared" si="11"/>
        <v>0</v>
      </c>
      <c r="AL18" s="873">
        <f>IF(ISNUMBER(NºAsuntos!G18/NºAsuntos!E18),NºAsuntos!G18/NºAsuntos!E18," - ")</f>
        <v>0.94324102001645183</v>
      </c>
      <c r="AM18" s="873">
        <f>IF(ISNUMBER(((NºAsuntos!I18/NºAsuntos!G18)*11)/factor_trimestre),((NºAsuntos!I18/NºAsuntos!G18)*11)/factor_trimestre," - ")</f>
        <v>3.425581395348837</v>
      </c>
      <c r="AN18" s="874">
        <f>IF(ISNUMBER('Resol  Asuntos'!D18/NºAsuntos!G18),'Resol  Asuntos'!D18/NºAsuntos!G18," - ")</f>
        <v>8.7209302325581398E-2</v>
      </c>
      <c r="AO18" s="875">
        <f>IF(ISNUMBER((NºAsuntos!C18+NºAsuntos!E18)/NºAsuntos!G18),(NºAsuntos!C18+NºAsuntos!E18)/NºAsuntos!G18," - ")</f>
        <v>2.7043604651162791</v>
      </c>
      <c r="AP18" s="876" t="str">
        <f t="shared" si="2"/>
        <v xml:space="preserve"> - </v>
      </c>
      <c r="AQ18" s="876">
        <f>IF(ISNUMBER((H18-W18+K18)/(F18)),(H18-W18+K18)/(F18)," - ")</f>
        <v>-0.67161265130808279</v>
      </c>
      <c r="AR18" s="877">
        <f>IF(ISNUMBER((Datos!P18-Datos!Q18)/(Datos!R18-Datos!P18+Datos!Q18)),(Datos!P18-Datos!Q18)/(Datos!R18-Datos!P18+Datos!Q18)," - ")</f>
        <v>-5.9866962305986697E-2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5240</v>
      </c>
      <c r="G19" s="820">
        <f t="shared" si="13"/>
        <v>5774</v>
      </c>
      <c r="H19" s="819">
        <f t="shared" si="13"/>
        <v>0</v>
      </c>
      <c r="I19" s="821">
        <f t="shared" si="13"/>
        <v>0</v>
      </c>
      <c r="J19" s="821">
        <f t="shared" si="13"/>
        <v>0</v>
      </c>
      <c r="K19" s="880">
        <f t="shared" si="13"/>
        <v>0</v>
      </c>
      <c r="L19" s="821">
        <f t="shared" si="13"/>
        <v>1881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3461</v>
      </c>
      <c r="X19" s="820">
        <f t="shared" si="14"/>
        <v>1973</v>
      </c>
      <c r="Y19" s="827">
        <f t="shared" si="14"/>
        <v>5321</v>
      </c>
      <c r="Z19" s="827">
        <f t="shared" si="14"/>
        <v>0</v>
      </c>
      <c r="AA19" s="827">
        <f t="shared" si="14"/>
        <v>6006</v>
      </c>
      <c r="AB19" s="827">
        <f t="shared" si="14"/>
        <v>15585</v>
      </c>
      <c r="AC19" s="827">
        <f t="shared" si="14"/>
        <v>6619</v>
      </c>
      <c r="AD19" s="827">
        <f t="shared" si="14"/>
        <v>0</v>
      </c>
      <c r="AE19" s="829">
        <f t="shared" si="14"/>
        <v>0</v>
      </c>
      <c r="AF19" s="830">
        <f t="shared" si="14"/>
        <v>0</v>
      </c>
      <c r="AG19" s="831">
        <f t="shared" si="14"/>
        <v>0</v>
      </c>
      <c r="AH19" s="829">
        <f t="shared" si="14"/>
        <v>0</v>
      </c>
      <c r="AI19" s="819">
        <f t="shared" si="14"/>
        <v>978</v>
      </c>
      <c r="AJ19" s="819">
        <f t="shared" si="14"/>
        <v>0</v>
      </c>
      <c r="AK19" s="829">
        <f t="shared" si="14"/>
        <v>0</v>
      </c>
      <c r="AL19" s="883">
        <f>IF(ISNUMBER(NºAsuntos!G19/NºAsuntos!E19),NºAsuntos!G19/NºAsuntos!E19," - ")</f>
        <v>1.0405337781484572</v>
      </c>
      <c r="AM19" s="884">
        <f>IF(ISNUMBER(((NºAsuntos!I19/NºAsuntos!G19)*11)/factor_trimestre),((NºAsuntos!I19/NºAsuntos!G19)*11)/factor_trimestre," - ")</f>
        <v>4.9842898364860533</v>
      </c>
      <c r="AN19" s="884">
        <f>IF(ISNUMBER('Resol  Asuntos'!D19/NºAsuntos!G19),'Resol  Asuntos'!D19/NºAsuntos!G19," - ")</f>
        <v>0.1567810195575505</v>
      </c>
      <c r="AO19" s="885">
        <f>IF(ISNUMBER((NºAsuntos!C19+NºAsuntos!E19)/NºAsuntos!G19),(NºAsuntos!C19+NºAsuntos!E19)/NºAsuntos!G19," - ")</f>
        <v>3.5030458480282141</v>
      </c>
      <c r="AP19" s="886" t="str">
        <f t="shared" si="2"/>
        <v xml:space="preserve"> - </v>
      </c>
      <c r="AQ19" s="887">
        <f>IF(OR(ISNUMBER(FIND("01",Criterios!A8,1)),ISNUMBER(FIND("02",Criterios!A8,1)),ISNUMBER(FIND("03",Criterios!A8,1)),ISNUMBER(FIND("04",Criterios!A8,1))),(I19-W19+K19)/(F19-K19),(H19-W19+K19)/(F19-K19))</f>
        <v>-0.66049618320610692</v>
      </c>
      <c r="AR19" s="888">
        <f>IF(ISNUMBER((Datos!P19-Datos!Q19)/(Datos!R19-Datos!P19+Datos!Q19)),(Datos!P19-Datos!Q19)/(Datos!R19-Datos!P19+Datos!Q19)," - ")</f>
        <v>-5.8684697327294763E-3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2309.6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3.5746017649212027</v>
      </c>
      <c r="F21" s="251">
        <f>IF(ISNUMBER(STDEV(F8:F18)),STDEV(F8:F18),"-")</f>
        <v>2889.0607470248874</v>
      </c>
      <c r="G21" s="252">
        <f>IF(ISNUMBER(STDEV(G8:G18)),STDEV(G8:G18),"-")</f>
        <v>2810.8068770372679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1790.2314934108381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255.25859903429773</v>
      </c>
      <c r="AJ21" s="251">
        <f t="shared" si="18"/>
        <v>0</v>
      </c>
      <c r="AK21" s="253">
        <f t="shared" si="18"/>
        <v>0</v>
      </c>
      <c r="AL21" s="248">
        <f t="shared" si="18"/>
        <v>0.15483302612620764</v>
      </c>
      <c r="AM21" s="249">
        <f t="shared" si="18"/>
        <v>2.6997320118546031</v>
      </c>
      <c r="AN21" s="249">
        <f t="shared" si="18"/>
        <v>9.3964905271416155E-2</v>
      </c>
      <c r="AO21" s="250">
        <f t="shared" si="18"/>
        <v>1.3583333303375889</v>
      </c>
      <c r="AP21" s="290" t="str">
        <f t="shared" si="18"/>
        <v>-</v>
      </c>
      <c r="AQ21" s="291">
        <f t="shared" si="18"/>
        <v>0.34906082274081224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YBQQPgsGrud6MhCWLspTeyhjd52xcAoYlgdjvBHcyIl2zwEvKI9fkPq0WNHYCF5VTtYBh8ejUsO7Lcj9d7cvg==" saltValue="OXaEt6ebT3OesPMcD5yI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MATARO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-0.16510903426791276</v>
      </c>
      <c r="I9" s="349">
        <f>IF(ISNUMBER((Tasas!C9-Datos!BE9)/Datos!BE9),(Tasas!C9-Datos!BE9)/Datos!BE9," - ")</f>
        <v>0.37355782540272403</v>
      </c>
      <c r="J9" s="348">
        <f>IF(ISNUMBER((Tasas!D9-Datos!BF9)/Datos!BF9),(Tasas!D9-Datos!BF9)/Datos!BF9," - ")</f>
        <v>-0.45011331566730994</v>
      </c>
      <c r="K9" s="350">
        <f>IF(ISNUMBER((Tasas!E9-Datos!BG9)/Datos!BG9),(Tasas!E9-Datos!BG9)/Datos!BG9," - ")</f>
        <v>0.285823050231996</v>
      </c>
      <c r="M9" t="e">
        <f>IF(Monitorios="SI",Datos!CE9,0)</f>
        <v>#REF!</v>
      </c>
      <c r="N9" t="e">
        <f>IF(Monitorios="SI",Datos!CF9,0)</f>
        <v>#REF!</v>
      </c>
      <c r="O9" t="e">
        <f>IF(Monitorios="SI",Datos!CG9,0)</f>
        <v>#REF!</v>
      </c>
      <c r="P9" t="e">
        <f>IF(Monitorios="SI",Datos!CH9,0)</f>
        <v>#REF!</v>
      </c>
      <c r="Q9">
        <f>IF(J_V="SI",0,Datos!AG9)</f>
        <v>97</v>
      </c>
      <c r="R9">
        <f>IF(J_V="SI",0,Datos!AH9)</f>
        <v>51</v>
      </c>
      <c r="S9">
        <f>IF(J_V="SI",0,Datos!AI9)</f>
        <v>54</v>
      </c>
      <c r="T9">
        <f>IF(J_V="SI",0,Datos!AJ9)</f>
        <v>94</v>
      </c>
    </row>
    <row r="10" spans="2:20" ht="14.25">
      <c r="B10" s="274" t="s">
        <v>246</v>
      </c>
      <c r="C10" s="7" t="str">
        <f>Datos!A10</f>
        <v>Jdos. Violencia contra la mujer/Secc Viol. TI.</v>
      </c>
      <c r="D10" s="351">
        <f>IF(ISNUMBER((Datos!I10-Datos!S10)/Datos!S10),(Datos!I10-Datos!S10)/Datos!S10," - ")</f>
        <v>0.19191919191919191</v>
      </c>
      <c r="E10" s="347">
        <f>IF(ISNUMBER((Datos!J10-Datos!T10)/Datos!T10),(Datos!J10-Datos!T10)/Datos!T10," - ")</f>
        <v>-0.39285714285714285</v>
      </c>
      <c r="F10" s="347">
        <f>IF(ISNUMBER((Datos!K10-Datos!U10)/Datos!U10),(Datos!K10-Datos!U10)/Datos!U10," - ")</f>
        <v>-0.32258064516129031</v>
      </c>
      <c r="G10" s="348">
        <f>IF(ISNUMBER((Datos!L10-Datos!V10)/Datos!V10),(Datos!L10-Datos!V10)/Datos!V10," - ")</f>
        <v>0.1875</v>
      </c>
      <c r="H10" s="229">
        <f>IF(ISNUMBER((Datos!M10-Datos!W10)/Datos!W10),(Datos!M10-Datos!W10)/Datos!W10," - ")</f>
        <v>-0.6</v>
      </c>
      <c r="I10" s="349">
        <f>IF(ISNUMBER((Tasas!C10-Datos!BE10)/Datos!BE10),(Tasas!C10-Datos!BE10)/Datos!BE10," - ")</f>
        <v>0.75297619047619058</v>
      </c>
      <c r="J10" s="348">
        <f>IF(ISNUMBER((Tasas!D10-Datos!BF10)/Datos!BF10),(Tasas!D10-Datos!BF10)/Datos!BF10," - ")</f>
        <v>-0.40952380952380957</v>
      </c>
      <c r="K10" s="350">
        <f>IF(ISNUMBER((Tasas!E10-Datos!BG10)/Datos!BG10),(Tasas!E10-Datos!BG10)/Datos!BG10," - ")</f>
        <v>0.56917885264341972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6.25E-2</v>
      </c>
      <c r="I11" s="349">
        <f>IF(ISNUMBER((Tasas!C11-Datos!BE11)/Datos!BE11),(Tasas!C11-Datos!BE11)/Datos!BE11," - ")</f>
        <v>-9.1999999999999957E-2</v>
      </c>
      <c r="J11" s="348">
        <f>IF(ISNUMBER((Tasas!D11-Datos!BF11)/Datos!BF11),(Tasas!D11-Datos!BF11)/Datos!BF11," - ")</f>
        <v>-0.56129032258064526</v>
      </c>
      <c r="K11" s="350">
        <f>IF(ISNUMBER((Tasas!E11-Datos!BG11)/Datos!BG11),(Tasas!E11-Datos!BG11)/Datos!BG11," - ")</f>
        <v>-6.3973063973063876E-2</v>
      </c>
      <c r="M11" t="e">
        <f>IF(Monitorios="SI",Datos!CE11,0)</f>
        <v>#REF!</v>
      </c>
      <c r="N11" t="e">
        <f>IF(Monitorios="SI",Datos!CF11,0)</f>
        <v>#REF!</v>
      </c>
      <c r="O11" t="e">
        <f>IF(Monitorios="SI",Datos!CG11,0)</f>
        <v>#REF!</v>
      </c>
      <c r="P11" t="e">
        <f>IF(Monitorios="SI",Datos!CH11,0)</f>
        <v>#REF!</v>
      </c>
      <c r="Q11">
        <f>IF(J_V="SI",0,Datos!AG11)</f>
        <v>79</v>
      </c>
      <c r="R11">
        <f>IF(J_V="SI",0,Datos!AH11)</f>
        <v>150</v>
      </c>
      <c r="S11">
        <f>IF(J_V="SI",0,Datos!AI11)</f>
        <v>173</v>
      </c>
      <c r="T11">
        <f>IF(J_V="SI",0,Datos!AJ11)</f>
        <v>56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-0.13630573248407643</v>
      </c>
      <c r="I13" s="356">
        <f>IF(ISNUMBER((Tasas!C13-Datos!BE13)/Datos!BE13),(Tasas!C13-Datos!BE13)/Datos!BE13," - ")</f>
        <v>0.29397222145045548</v>
      </c>
      <c r="J13" s="354">
        <f>IF(ISNUMBER((Tasas!D13-Datos!BF13)/Datos!BF13),(Tasas!D13-Datos!BF13)/Datos!BF13," - ")</f>
        <v>-0.47263571235581314</v>
      </c>
      <c r="K13" s="357">
        <f>IF(ISNUMBER((Tasas!E13-Datos!BG13)/Datos!BG13),(Tasas!E13-Datos!BG13)/Datos!BG13," - ")</f>
        <v>0.22408759311927998</v>
      </c>
      <c r="M13" t="e">
        <f>IF(Monitorios="SI",Datos!CE13,0)</f>
        <v>#REF!</v>
      </c>
      <c r="N13" t="e">
        <f>IF(Monitorios="SI",Datos!CF13,0)</f>
        <v>#REF!</v>
      </c>
      <c r="O13" t="e">
        <f>IF(Monitorios="SI",Datos!CG13,0)</f>
        <v>#REF!</v>
      </c>
      <c r="P13" t="e">
        <f>IF(Monitorios="SI",Datos!CH13,0)</f>
        <v>#REF!</v>
      </c>
      <c r="Q13">
        <f>IF(J_V="SI",0,Datos!AG13)</f>
        <v>176</v>
      </c>
      <c r="R13">
        <f>IF(J_V="SI",0,Datos!AH13)</f>
        <v>201</v>
      </c>
      <c r="S13">
        <f>IF(J_V="SI",0,Datos!AI13)</f>
        <v>227</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0.10477223427331887</v>
      </c>
      <c r="E15" s="347">
        <f>IF(ISNUMBER(
   IF(D_I="SI",(Datos!J15-Datos!T15)/Datos!T15,(Datos!J15+Datos!AD15-(Datos!T15+Datos!AL15))/(Datos!T15+Datos!AL15))
     ),IF(D_I="SI",(Datos!J15-Datos!T15)/Datos!T15,(Datos!J15+Datos!AD15-(Datos!T15+Datos!AL15))/(Datos!T15+Datos!AL15))," - ")</f>
        <v>7.8889239507731149E-2</v>
      </c>
      <c r="F15" s="347">
        <f>IF(ISNUMBER(
   IF(D_I="SI",(Datos!K15-Datos!U15)/Datos!U15,(Datos!K15+Datos!AE15-(Datos!U15+Datos!AM15))/(Datos!U15+Datos!AM15))
     ),IF(D_I="SI",(Datos!K15-Datos!U15)/Datos!U15,(Datos!K15+Datos!AE15-(Datos!U15+Datos!AM15))/(Datos!U15+Datos!AM15))," - ")</f>
        <v>7.9507651363938794E-2</v>
      </c>
      <c r="G15" s="348">
        <f>IF(ISNUMBER(
   IF(D_I="SI",(Datos!L15-Datos!V15)/Datos!V15,(Datos!L15+Datos!AF15-(Datos!V15+Datos!AN15))/(Datos!V15+Datos!AN15))
     ),IF(D_I="SI",(Datos!L15-Datos!V15)/Datos!V15,(Datos!L15+Datos!AF15-(Datos!V15+Datos!AN15))/(Datos!V15+Datos!AN15))," - ")</f>
        <v>0.10241465445462115</v>
      </c>
      <c r="H15" s="229">
        <f>IF(ISNUMBER((Datos!M15-Datos!W15)/Datos!W15),(Datos!M15-Datos!W15)/Datos!W15," - ")</f>
        <v>8.3333333333333329E-2</v>
      </c>
      <c r="I15" s="349">
        <f>IF(ISNUMBER((Tasas!C15-Datos!BE15)/Datos!BE15),(Tasas!C15-Datos!BE15)/Datos!BE15," - ")</f>
        <v>2.1219861722832439E-2</v>
      </c>
      <c r="J15" s="348">
        <f>IF(ISNUMBER((Tasas!D15-Datos!BF15)/Datos!BF15),(Tasas!D15-Datos!BF15)/Datos!BF15," - ")</f>
        <v>3.5439137134051849E-3</v>
      </c>
      <c r="K15" s="350">
        <f>IF(ISNUMBER((Tasas!E15-Datos!BG15)/Datos!BG15),(Tasas!E15-Datos!BG15)/Datos!BG15," - ")</f>
        <v>1.3636215079474998E-2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0.37990196078431371</v>
      </c>
      <c r="E17" s="347">
        <f>IF(ISNUMBER(
   IF(D_I="SI",(Datos!J17-Datos!T17)/Datos!T17,(Datos!J17+Datos!AD17-(Datos!T17+Datos!AL17))/(Datos!T17+Datos!AL17))
     ),IF(D_I="SI",(Datos!J17-Datos!T17)/Datos!T17,(Datos!J17+Datos!AD17-(Datos!T17+Datos!AL17))/(Datos!T17+Datos!AL17))," - ")</f>
        <v>-8.0645161290322578E-2</v>
      </c>
      <c r="F17" s="347">
        <f>IF(ISNUMBER(
   IF(D_I="SI",(Datos!K17-Datos!U17)/Datos!U17,(Datos!K17+Datos!AE17-(Datos!U17+Datos!AM17))/(Datos!U17+Datos!AM17))
     ),IF(D_I="SI",(Datos!K17-Datos!U17)/Datos!U17,(Datos!K17+Datos!AE17-(Datos!U17+Datos!AM17))/(Datos!U17+Datos!AM17))," - ")</f>
        <v>-0.12946428571428573</v>
      </c>
      <c r="G17" s="348">
        <f>IF(ISNUMBER(
   IF(D_I="SI",(Datos!L17-Datos!V17)/Datos!V17,(Datos!L17+Datos!AF17-(Datos!V17+Datos!AN17))/(Datos!V17+Datos!AN17))
     ),IF(D_I="SI",(Datos!L17-Datos!V17)/Datos!V17,(Datos!L17+Datos!AF17-(Datos!V17+Datos!AN17))/(Datos!V17+Datos!AN17))," - ")</f>
        <v>0.37327188940092165</v>
      </c>
      <c r="H17" s="229">
        <f>IF(ISNUMBER((Datos!M17-Datos!W17)/Datos!W17),(Datos!M17-Datos!W17)/Datos!W17," - ")</f>
        <v>0.4</v>
      </c>
      <c r="I17" s="349">
        <f>IF(ISNUMBER((Tasas!C17-Datos!BE17)/Datos!BE17),(Tasas!C17-Datos!BE17)/Datos!BE17," - ")</f>
        <v>0.57750206782464841</v>
      </c>
      <c r="J17" s="348">
        <f>IF(ISNUMBER((Tasas!D17-Datos!BF17)/Datos!BF17),(Tasas!D17-Datos!BF17)/Datos!BF17," - ")</f>
        <v>0.60820512820512806</v>
      </c>
      <c r="K17" s="350">
        <f>IF(ISNUMBER((Tasas!E17-Datos!BG17)/Datos!BG17),(Tasas!E17-Datos!BG17)/Datos!BG17," - ")</f>
        <v>0.38511569731081929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0.12714228776404943</v>
      </c>
      <c r="E18" s="353">
        <f>IF(ISNUMBER(
   IF(D_I="SI",(Datos!J18-Datos!T18)/Datos!T18,(Datos!J18+Datos!AD18-(Datos!T18+Datos!AL18))/(Datos!T18+Datos!AL18))
     ),IF(D_I="SI",(Datos!J18-Datos!T18)/Datos!T18,(Datos!J18+Datos!AD18-(Datos!T18+Datos!AL18))/(Datos!T18+Datos!AL18))," - ")</f>
        <v>6.7310506292069069E-2</v>
      </c>
      <c r="F18" s="353">
        <f>IF(ISNUMBER(
   IF(D_I="SI",(Datos!K18-Datos!U18)/Datos!U18,(Datos!K18+Datos!AE18-(Datos!U18+Datos!AM18))/(Datos!U18+Datos!AM18))
     ),IF(D_I="SI",(Datos!K18-Datos!U18)/Datos!U18,(Datos!K18+Datos!AE18-(Datos!U18+Datos!AM18))/(Datos!U18+Datos!AM18))," - ")</f>
        <v>6.5015479876160992E-2</v>
      </c>
      <c r="G18" s="354">
        <f>IF(ISNUMBER(
   IF(D_I="SI",(Datos!L18-Datos!V18)/Datos!V18,(Datos!L18+Datos!AF18-(Datos!V18+Datos!AN18))/(Datos!V18+Datos!AN18))
     ),IF(D_I="SI",(Datos!L18-Datos!V18)/Datos!V18,(Datos!L18+Datos!AF18-(Datos!V18+Datos!AN18))/(Datos!V18+Datos!AN18))," - ")</f>
        <v>0.12485681557846506</v>
      </c>
      <c r="H18" s="355">
        <f>IF(ISNUMBER((Datos!M18-Datos!W18)/Datos!W18),(Datos!M18-Datos!W18)/Datos!W18," - ")</f>
        <v>9.4890510948905105E-2</v>
      </c>
      <c r="I18" s="356">
        <f>IF(ISNUMBER((Tasas!C18-Datos!BE18)/Datos!BE18),(Tasas!C18-Datos!BE18)/Datos!BE18," - ")</f>
        <v>5.6188230906523882E-2</v>
      </c>
      <c r="J18" s="354">
        <f>IF(ISNUMBER((Tasas!D18-Datos!BF18)/Datos!BF18),(Tasas!D18-Datos!BF18)/Datos!BF18," - ")</f>
        <v>2.805126464097776E-2</v>
      </c>
      <c r="K18" s="357">
        <f>IF(ISNUMBER((Tasas!E18-Datos!BG18)/Datos!BG18),(Tasas!E18-Datos!BG18)/Datos!BG18," - ")</f>
        <v>3.5576088005403884E-2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0.16587015660613191</v>
      </c>
      <c r="E19" s="362">
        <f>IF(ISNUMBER(
   IF(J_V="SI",(Datos!J19-Datos!T19)/Datos!T19,(Datos!J19+Datos!Z19-(Datos!T19+Datos!AH19))/(Datos!T19+Datos!AH19))
     ),IF(J_V="SI",(Datos!J19-Datos!T19)/Datos!T19,(Datos!J19+Datos!Z19-(Datos!T19+Datos!AH19))/(Datos!T19+Datos!AH19))," - ")</f>
        <v>-7.7692307692307686E-2</v>
      </c>
      <c r="F19" s="362">
        <f>IF(ISNUMBER(
   IF(J_V="SI",(Datos!K19-Datos!U19)/Datos!U19,(Datos!K19+Datos!AA19-(Datos!U19+Datos!AI19))/(Datos!U19+Datos!AI19))
     ),IF(J_V="SI",(Datos!K19-Datos!U19)/Datos!U19,(Datos!K19+Datos!AA19-(Datos!U19+Datos!AI19))/(Datos!U19+Datos!AI19))," - ")</f>
        <v>-2.7439975054568133E-2</v>
      </c>
      <c r="G19" s="363">
        <f>IF(ISNUMBER(
   IF(J_V="SI",(Datos!L19-Datos!V19)/Datos!V19,(Datos!L19+Datos!AB19-(Datos!V19+Datos!AJ19))/(Datos!V19+Datos!AJ19))
     ),IF(J_V="SI",(Datos!L19-Datos!V19)/Datos!V19,(Datos!L19+Datos!AB19-(Datos!V19+Datos!AJ19))/(Datos!V19+Datos!AJ19))," - ")</f>
        <v>0.13243006993006992</v>
      </c>
      <c r="H19" s="364">
        <f>IF(ISNUMBER((Datos!M19-Datos!W19)/Datos!W19),(Datos!M19-Datos!W19)/Datos!W19," - ")</f>
        <v>-7.6487252124645896E-2</v>
      </c>
      <c r="I19" s="361">
        <f>IF(ISNUMBER((Tasas!C19-Datos!BE19)/Datos!BE19),(Tasas!C19-Datos!BE19)/Datos!BE19," - ")</f>
        <v>0.16438064580498057</v>
      </c>
      <c r="J19" s="362">
        <f>IF(ISNUMBER((Tasas!D19-Datos!BF19)/Datos!BF19),(Tasas!D19-Datos!BF19)/Datos!BF19," - ")</f>
        <v>-0.42107457717781871</v>
      </c>
      <c r="K19" s="363">
        <f>IF(ISNUMBER((Tasas!E19-Datos!BG19)/Datos!BG19),(Tasas!E19-Datos!BG19)/Datos!BG19," - ")</f>
        <v>0.11778200434072765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0.12490409618902205</v>
      </c>
      <c r="E21" s="277">
        <f t="shared" si="1"/>
        <v>0.21970651024005552</v>
      </c>
      <c r="F21" s="277">
        <f t="shared" si="1"/>
        <v>0.18949524078840002</v>
      </c>
      <c r="G21" s="278">
        <f t="shared" si="1"/>
        <v>0.12289976291457867</v>
      </c>
      <c r="H21" s="284">
        <f t="shared" si="1"/>
        <v>0.30983506706388753</v>
      </c>
      <c r="I21" s="276">
        <f t="shared" si="1"/>
        <v>0.30998031717317964</v>
      </c>
      <c r="J21" s="277">
        <f t="shared" si="1"/>
        <v>0.4193041490294005</v>
      </c>
      <c r="K21" s="278">
        <f t="shared" si="1"/>
        <v>0.22715848583504197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JMoC4DeL4/tYZtcseUefiKWxWmY2u+mRrynqD1RCGSHYed5nz9zJr6vZ9VhdfhzIjUS2/RT9MrQrRXCrgRhfg==" saltValue="VkQfto4N5lHap3BlxMlv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